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Inputs" sheetId="2" state="visible" r:id="rId4"/>
    <sheet name="Metrics" sheetId="3" state="visible" r:id="rId5"/>
    <sheet name="Retention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<sst xmlns="http://schemas.openxmlformats.org/spreadsheetml/2006/main" count="151" uniqueCount="148">
  <si>
    <t xml:space="preserve">SaaS Metrics Sheet</t>
  </si>
  <si>
    <t xml:space="preserve">The monthly SaaS metrics we report to clients, with every formula written out. Enter twelve months of numbers from your billing system and QuickBooks; the Metrics tab does the rest. The sample data is a fictional company.</t>
  </si>
  <si>
    <t xml:space="preserve">HOW TO SET IT UP (ABOUT 45 MINUTES)</t>
  </si>
  <si>
    <t xml:space="preserve">1.  Google Sheets: sheets.google.com &gt; File &gt; Import &gt; Upload this file.  Excel: just open it.</t>
  </si>
  <si>
    <t xml:space="preserve">2.  Inputs tab: enter your company name and the first of the month your 12 months start (cell C5). The month headers follow.</t>
  </si>
  <si>
    <t xml:space="preserve">3.  Inputs tab: replace the blue numbers with yours. Blue text on yellow is an input. Black text is a formula. Leave formulas alone.</t>
  </si>
  <si>
    <t xml:space="preserve">4.  Customers and MRR come from your billing system (Stripe, Chargebee, the App Store, your invoices). Enter contraction and churned MRR as positive numbers.</t>
  </si>
  <si>
    <t xml:space="preserve">5.  Revenue and costs come from QuickBooks, on the accrual basis, after the month is closed. Recognized revenue, not cash collected.</t>
  </si>
  <si>
    <t xml:space="preserve">6.  Retention tab: enter the four numbers for the customers you had 12 months ago. That gives you NRR and GRR.</t>
  </si>
  <si>
    <t xml:space="preserve">WHAT GOES IN COST OF REVENUE</t>
  </si>
  <si>
    <t xml:space="preserve">Subscription: hosting, third-party software built into the product, the customer support team, and payment processing and app store fees.</t>
  </si>
  <si>
    <t xml:space="preserve">Services: the people who do onboarding, implementation, and training, for the hours they spend on it.</t>
  </si>
  <si>
    <t xml:space="preserve">If these sit in operating expenses in QuickBooks, gross margin reads 90% or more and CAC payback reads too short. Move them first.</t>
  </si>
  <si>
    <t xml:space="preserve">WHAT GOES IN SALES AND MARKETING (FOR CAC)</t>
  </si>
  <si>
    <t xml:space="preserve">Ad spend, sales and marketing salaries and commissions, payroll taxes and benefits on those salaries, agencies, events, and sales and marketing software.</t>
  </si>
  <si>
    <t xml:space="preserve">Ad spend alone is not CAC. It is usually less than half of it.</t>
  </si>
  <si>
    <t xml:space="preserve">THE FORMULAS</t>
  </si>
  <si>
    <t xml:space="preserve">Ending MRR = starting MRR + new + expansion − contraction − churned.   ARR = ending MRR × 12.</t>
  </si>
  <si>
    <t xml:space="preserve">Logo churn = customers lost ÷ customers at the start of the month.</t>
  </si>
  <si>
    <t xml:space="preserve">ARPA (average revenue per account) = ending MRR ÷ customers at the end of the month.</t>
  </si>
  <si>
    <t xml:space="preserve">CAC = sales and marketing cost ÷ new customers.</t>
  </si>
  <si>
    <t xml:space="preserve">CAC payback (months) = CAC ÷ (average new-customer MRR × subscription gross margin).</t>
  </si>
  <si>
    <t xml:space="preserve">LTV = ARPA × subscription gross margin × customer lifetime. Lifetime = 1 ÷ monthly logo churn, capped at the months in Inputs cell C6 (60 by default). A second row uses churn averaged over three months.</t>
  </si>
  <si>
    <t xml:space="preserve">NRR (12 months) = (MRR a year ago + expansion − contraction − churned) ÷ MRR a year ago, for the same customers only. GRR leaves expansion out.</t>
  </si>
  <si>
    <t xml:space="preserve">Runway (months) = cash at month end ÷ average monthly net burn over the last three months.</t>
  </si>
  <si>
    <t xml:space="preserve">Burn multiple = net burn ÷ net new ARR for the month. Under 1.0x means each dollar of burn bought more than a dollar of new ARR.</t>
  </si>
  <si>
    <t xml:space="preserve">READING IT</t>
  </si>
  <si>
    <t xml:space="preserve">Single months are noisy when you add fewer than about 50 customers a month. Read across the row, and use the trailing three-month rows for CAC and churn.</t>
  </si>
  <si>
    <t xml:space="preserve">MRR is not revenue. Subscription revenue in QuickBooks should land close to the average of starting and ending MRR. The Metrics tab shows the gap. A gap of more than a few percent means a booking problem: annual plans recognized when the cash arrived, fees netted out of revenue, or a missing deferred revenue entry.</t>
  </si>
  <si>
    <t xml:space="preserve">This sheet is a starting point, not tax, legal, or audit advice. Your CPA decides how revenue is reported on your tax return and audited statements.</t>
  </si>
  <si>
    <t xml:space="preserve">Walden Solutions Group · waldensg.com · info@waldensg.com</t>
  </si>
  <si>
    <t xml:space="preserve">Inputs</t>
  </si>
  <si>
    <t xml:space="preserve">Blue on yellow is an input. Twelve months, oldest on the left. Sample data is a fictional company.</t>
  </si>
  <si>
    <t xml:space="preserve">Company name</t>
  </si>
  <si>
    <t xml:space="preserve">Sample SaaS Co.</t>
  </si>
  <si>
    <t xml:space="preserve">First month</t>
  </si>
  <si>
    <t xml:space="preserve">The first of the month. All twelve columns key off this date.</t>
  </si>
  <si>
    <t xml:space="preserve">Lifetime cap (months)</t>
  </si>
  <si>
    <t xml:space="preserve">Caps LTV when churn is very low. At 0.5% monthly churn the formula says 200 months. Nobody should plan on that.</t>
  </si>
  <si>
    <t xml:space="preserve">Month</t>
  </si>
  <si>
    <t xml:space="preserve">CUSTOMERS (FROM YOUR BILLING SYSTEM)</t>
  </si>
  <si>
    <t xml:space="preserve">Customers at start of month</t>
  </si>
  <si>
    <t xml:space="preserve">Enter the first month only. Later months carry the prior month’s end.</t>
  </si>
  <si>
    <t xml:space="preserve">New customers</t>
  </si>
  <si>
    <t xml:space="preserve">First paid month. Free trials don’t count until they pay.</t>
  </si>
  <si>
    <t xml:space="preserve">Customers lost</t>
  </si>
  <si>
    <t xml:space="preserve">Cancelled or not renewed, counted in the month the paid service ends.</t>
  </si>
  <si>
    <t xml:space="preserve">Customers at end of month</t>
  </si>
  <si>
    <t xml:space="preserve">MRR (FROM YOUR BILLING SYSTEM)</t>
  </si>
  <si>
    <t xml:space="preserve">Starting MRR</t>
  </si>
  <si>
    <t xml:space="preserve">Enter the first month only. Annual plans count at 1/12 of the annual price.</t>
  </si>
  <si>
    <t xml:space="preserve">New MRR</t>
  </si>
  <si>
    <t xml:space="preserve">From customers whose first paid month this is.</t>
  </si>
  <si>
    <t xml:space="preserve">Expansion MRR</t>
  </si>
  <si>
    <t xml:space="preserve">Upgrades, added seats, price increases on existing customers.</t>
  </si>
  <si>
    <t xml:space="preserve">Contraction MRR</t>
  </si>
  <si>
    <t xml:space="preserve">Downgrades and removed seats. Enter as a positive number.</t>
  </si>
  <si>
    <t xml:space="preserve">Churned MRR</t>
  </si>
  <si>
    <t xml:space="preserve">MRR of customers lost. Enter as a positive number.</t>
  </si>
  <si>
    <t xml:space="preserve">Ending MRR</t>
  </si>
  <si>
    <t xml:space="preserve">P&amp;L (FROM QUICKBOOKS, ACCRUAL BASIS, AFTER THE CLOSE)</t>
  </si>
  <si>
    <t xml:space="preserve">Subscription revenue</t>
  </si>
  <si>
    <t xml:space="preserve">Recognized this month, not cash collected. Gross of app store and payment fees.</t>
  </si>
  <si>
    <t xml:space="preserve">Cost of subscription revenue</t>
  </si>
  <si>
    <t xml:space="preserve">Hosting, software in the product, support team, payment and app store fees.</t>
  </si>
  <si>
    <t xml:space="preserve">Services revenue</t>
  </si>
  <si>
    <t xml:space="preserve">Onboarding, implementation, training, consulting.</t>
  </si>
  <si>
    <t xml:space="preserve">Cost of services revenue</t>
  </si>
  <si>
    <t xml:space="preserve">The people doing that work, for the hours they spend on it.</t>
  </si>
  <si>
    <t xml:space="preserve">Sales and marketing cost</t>
  </si>
  <si>
    <t xml:space="preserve">Salaries, commissions, taxes and benefits, ads, agencies, tools. See READ ME.</t>
  </si>
  <si>
    <t xml:space="preserve">CASH (FROM THE BANK AND YOUR CASH FLOW STATEMENT)</t>
  </si>
  <si>
    <t xml:space="preserve">Cash at month end</t>
  </si>
  <si>
    <t xml:space="preserve">All operating and savings accounts.</t>
  </si>
  <si>
    <t xml:space="preserve">Net burn</t>
  </si>
  <si>
    <t xml:space="preserve">Operating cash out minus operating cash in. Enter a negative number in a month you generate cash.</t>
  </si>
  <si>
    <t xml:space="preserve">All formulas. Change the Inputs tab, not this one.</t>
  </si>
  <si>
    <t xml:space="preserve">MRR AND ARR</t>
  </si>
  <si>
    <t xml:space="preserve">ARR</t>
  </si>
  <si>
    <t xml:space="preserve">Ending MRR × 12.</t>
  </si>
  <si>
    <t xml:space="preserve">Net new MRR</t>
  </si>
  <si>
    <t xml:space="preserve">New + expansion − contraction − churned.</t>
  </si>
  <si>
    <t xml:space="preserve">MRR growth</t>
  </si>
  <si>
    <t xml:space="preserve">Net new MRR ÷ starting MRR.</t>
  </si>
  <si>
    <t xml:space="preserve">CHURN AND RETENTION (MONTHLY)</t>
  </si>
  <si>
    <t xml:space="preserve">Logo churn</t>
  </si>
  <si>
    <t xml:space="preserve">Customers lost ÷ customers at start.</t>
  </si>
  <si>
    <t xml:space="preserve">Logo churn, trailing 3 months</t>
  </si>
  <si>
    <t xml:space="preserve">Smooths a noisy month.</t>
  </si>
  <si>
    <t xml:space="preserve">Gross MRR churn</t>
  </si>
  <si>
    <t xml:space="preserve">(Contraction + churned) ÷ starting MRR.</t>
  </si>
  <si>
    <t xml:space="preserve">Net MRR retention, this month</t>
  </si>
  <si>
    <t xml:space="preserve">(Starting + expansion − contraction − churned) ÷ starting. Under 100% means the base shrank before new sales.</t>
  </si>
  <si>
    <t xml:space="preserve">UNIT ECONOMICS</t>
  </si>
  <si>
    <t xml:space="preserve">ARPA (average MRR per customer)</t>
  </si>
  <si>
    <t xml:space="preserve">Ending MRR ÷ customers at end.</t>
  </si>
  <si>
    <t xml:space="preserve">Average new-customer MRR</t>
  </si>
  <si>
    <t xml:space="preserve">New MRR ÷ new customers.</t>
  </si>
  <si>
    <t xml:space="preserve">CAC</t>
  </si>
  <si>
    <t xml:space="preserve">Sales and marketing cost ÷ new customers.</t>
  </si>
  <si>
    <t xml:space="preserve">CAC, trailing 3 months</t>
  </si>
  <si>
    <t xml:space="preserve">Subscription gross margin</t>
  </si>
  <si>
    <t xml:space="preserve">(Subscription revenue − its cost) ÷ subscription revenue.</t>
  </si>
  <si>
    <t xml:space="preserve">CAC payback (months)</t>
  </si>
  <si>
    <t xml:space="preserve">CAC ÷ (new-customer MRR × subscription gross margin). Months of gross profit to earn back what it cost to win the customer.</t>
  </si>
  <si>
    <t xml:space="preserve">Customer lifetime (months)</t>
  </si>
  <si>
    <t xml:space="preserve">1 ÷ this month’s logo churn, capped at Inputs C6.</t>
  </si>
  <si>
    <t xml:space="preserve">LTV</t>
  </si>
  <si>
    <t xml:space="preserve">ARPA × subscription gross margin × lifetime.</t>
  </si>
  <si>
    <t xml:space="preserve">LTV, on trailing 3-month churn</t>
  </si>
  <si>
    <t xml:space="preserve">The same, with churn smoothed over three months. Use this one when monthly churn swings.</t>
  </si>
  <si>
    <t xml:space="preserve">LTV to CAC</t>
  </si>
  <si>
    <t xml:space="preserve">LTV ÷ CAC. Read the trend, not one month.</t>
  </si>
  <si>
    <t xml:space="preserve">GROSS MARGIN, SPLIT</t>
  </si>
  <si>
    <t xml:space="preserve">Services gross margin</t>
  </si>
  <si>
    <t xml:space="preserve">Services usually run 20–40%. Buyers and investors value the two lines differently.</t>
  </si>
  <si>
    <t xml:space="preserve">Blended gross margin</t>
  </si>
  <si>
    <t xml:space="preserve">What QuickBooks shows if both sit in one revenue line.</t>
  </si>
  <si>
    <t xml:space="preserve">MRR AGAINST REVENUE IN QUICKBOOKS</t>
  </si>
  <si>
    <t xml:space="preserve">Average MRR for the month</t>
  </si>
  <si>
    <t xml:space="preserve">(Starting + ending MRR) ÷ 2.</t>
  </si>
  <si>
    <t xml:space="preserve">Subscription revenue in QuickBooks</t>
  </si>
  <si>
    <t xml:space="preserve">Gap</t>
  </si>
  <si>
    <t xml:space="preserve">Mid-month starts and cancellations explain a small gap.</t>
  </si>
  <si>
    <t xml:space="preserve">Gap as % of average MRR</t>
  </si>
  <si>
    <t xml:space="preserve">Over about 3% either way, look for annual plans booked as cash, fees netted out, or a missing deferred revenue entry.</t>
  </si>
  <si>
    <t xml:space="preserve">CASH</t>
  </si>
  <si>
    <t xml:space="preserve">Runway (months)</t>
  </si>
  <si>
    <t xml:space="preserve">Cash ÷ average net burn, last three months.</t>
  </si>
  <si>
    <t xml:space="preserve">Burn multiple</t>
  </si>
  <si>
    <t xml:space="preserve">Net burn ÷ net new ARR.</t>
  </si>
  <si>
    <t xml:space="preserve">Net and gross revenue retention, 12 months</t>
  </si>
  <si>
    <t xml:space="preserve">For the customers you had a year ago only. New customers since then are left out.</t>
  </si>
  <si>
    <t xml:space="preserve">INPUTS (FROM YOUR BILLING SYSTEM)</t>
  </si>
  <si>
    <t xml:space="preserve">MRR from those customers, 12 months ago</t>
  </si>
  <si>
    <t xml:space="preserve">Filter to customers active on the start date. Their MRR on that date.</t>
  </si>
  <si>
    <t xml:space="preserve">Expansion from them since</t>
  </si>
  <si>
    <t xml:space="preserve">Upgrades, seats, price increases.</t>
  </si>
  <si>
    <t xml:space="preserve">Contraction from them since</t>
  </si>
  <si>
    <t xml:space="preserve">Downgrades. Positive number.</t>
  </si>
  <si>
    <t xml:space="preserve">Churned MRR from them since</t>
  </si>
  <si>
    <t xml:space="preserve">Customers from that group who left. Positive number.</t>
  </si>
  <si>
    <t xml:space="preserve">RESULTS</t>
  </si>
  <si>
    <t xml:space="preserve">MRR from those customers today</t>
  </si>
  <si>
    <t xml:space="preserve">Net revenue retention (NRR)</t>
  </si>
  <si>
    <t xml:space="preserve">(MRR a year ago + expansion − contraction − churned) ÷ MRR a year ago.</t>
  </si>
  <si>
    <t xml:space="preserve">Gross revenue retention (GRR)</t>
  </si>
  <si>
    <t xml:space="preserve">The same, without expansion. It can’t go over 100%.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</si>
</sst>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mmm\ yyyy"/>
    <numFmt numFmtId="166" formatCode="#,##0;\(#,##0\);\-"/>
    <numFmt numFmtId="167" formatCode="\$#,##0;&quot;($&quot;#,##0\);\-"/>
    <numFmt numFmtId="168" formatCode="0.0%;\(0.0%\);\-"/>
    <numFmt numFmtId="169" formatCode="\$#,##0.00;&quot;($&quot;#,##0.00\);\-"/>
    <numFmt numFmtId="170" formatCode="0.0;\(0.0\);\-"/>
    <numFmt numFmtId="171" formatCode="0.00\x;\(0.00&quot;x)&quot;;\-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33312E"/>
      <name val="Arial"/>
      <family val="0"/>
      <charset val="1"/>
    </font>
    <font>
      <sz val="10"/>
      <color rgb="FF8A8680"/>
      <name val="Arial"/>
      <family val="0"/>
      <charset val="1"/>
    </font>
    <font>
      <b val="true"/>
      <sz val="10"/>
      <color rgb="FF33312E"/>
      <name val="Arial"/>
      <family val="0"/>
      <charset val="1"/>
    </font>
    <font>
      <sz val="10"/>
      <color rgb="FF33312E"/>
      <name val="Arial"/>
      <family val="0"/>
      <charset val="1"/>
    </font>
    <font>
      <sz val="9"/>
      <color rgb="FF8A8680"/>
      <name val="Arial"/>
      <family val="0"/>
      <charset val="1"/>
    </font>
    <font>
      <sz val="10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5F1E8"/>
        <bgColor rgb="FFFFFFCC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D9D4C8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5F1E8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A8680"/>
      <rgbColor rgb="FF9999FF"/>
      <rgbColor rgb="FF993366"/>
      <rgbColor rgb="FFFFFFCC"/>
      <rgbColor rgb="FFCCFFFF"/>
      <rgbColor rgb="FF660066"/>
      <rgbColor rgb="FFFF8080"/>
      <rgbColor rgb="FF0066CC"/>
      <rgbColor rgb="FFD9D4C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1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17.35" hidden="false" customHeight="false" outlineLevel="0" collapsed="false">
      <c r="B2" s="1" t="s">
        <v>0</v>
      </c>
    </row>
    <row r="3" customFormat="false" ht="23.8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4" t="s">
        <v>3</v>
      </c>
    </row>
    <row r="7" customFormat="false" ht="15" hidden="false" customHeight="false" outlineLevel="0" collapsed="false">
      <c r="B7" s="4" t="s">
        <v>4</v>
      </c>
    </row>
    <row r="8" customFormat="false" ht="15" hidden="false" customHeight="false" outlineLevel="0" collapsed="false">
      <c r="B8" s="4" t="s">
        <v>5</v>
      </c>
    </row>
    <row r="9" customFormat="false" ht="23.85" hidden="false" customHeight="false" outlineLevel="0" collapsed="false">
      <c r="B9" s="4" t="s">
        <v>6</v>
      </c>
    </row>
    <row r="10" customFormat="false" ht="15" hidden="false" customHeight="false" outlineLevel="0" collapsed="false">
      <c r="B10" s="4" t="s">
        <v>7</v>
      </c>
    </row>
    <row r="11" customFormat="false" ht="15" hidden="false" customHeight="false" outlineLevel="0" collapsed="false">
      <c r="B11" s="4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4" t="s">
        <v>10</v>
      </c>
    </row>
    <row r="15" customFormat="false" ht="15" hidden="false" customHeight="false" outlineLevel="0" collapsed="false">
      <c r="B15" s="4" t="s">
        <v>11</v>
      </c>
    </row>
    <row r="16" customFormat="false" ht="15" hidden="false" customHeight="false" outlineLevel="0" collapsed="false">
      <c r="B16" s="4" t="s">
        <v>12</v>
      </c>
    </row>
    <row r="18" customFormat="false" ht="15" hidden="false" customHeight="false" outlineLevel="0" collapsed="false">
      <c r="B18" s="3" t="s">
        <v>13</v>
      </c>
    </row>
    <row r="19" customFormat="false" ht="23.85" hidden="false" customHeight="false" outlineLevel="0" collapsed="false">
      <c r="B19" s="4" t="s">
        <v>14</v>
      </c>
    </row>
    <row r="20" customFormat="false" ht="15" hidden="false" customHeight="false" outlineLevel="0" collapsed="false">
      <c r="B20" s="4" t="s">
        <v>15</v>
      </c>
    </row>
    <row r="22" customFormat="false" ht="15" hidden="false" customHeight="false" outlineLevel="0" collapsed="false">
      <c r="B22" s="3" t="s">
        <v>16</v>
      </c>
    </row>
    <row r="23" customFormat="false" ht="15" hidden="false" customHeight="false" outlineLevel="0" collapsed="false">
      <c r="B23" s="4" t="s">
        <v>17</v>
      </c>
    </row>
    <row r="24" customFormat="false" ht="15" hidden="false" customHeight="false" outlineLevel="0" collapsed="false">
      <c r="B24" s="4" t="s">
        <v>18</v>
      </c>
    </row>
    <row r="25" customFormat="false" ht="15" hidden="false" customHeight="false" outlineLevel="0" collapsed="false">
      <c r="B25" s="4" t="s">
        <v>19</v>
      </c>
    </row>
    <row r="26" customFormat="false" ht="15" hidden="false" customHeight="false" outlineLevel="0" collapsed="false">
      <c r="B26" s="4" t="s">
        <v>20</v>
      </c>
    </row>
    <row r="27" customFormat="false" ht="15" hidden="false" customHeight="false" outlineLevel="0" collapsed="false">
      <c r="B27" s="4" t="s">
        <v>21</v>
      </c>
    </row>
    <row r="28" customFormat="false" ht="23.85" hidden="false" customHeight="false" outlineLevel="0" collapsed="false">
      <c r="B28" s="4" t="s">
        <v>22</v>
      </c>
    </row>
    <row r="29" customFormat="false" ht="23.85" hidden="false" customHeight="false" outlineLevel="0" collapsed="false">
      <c r="B29" s="4" t="s">
        <v>23</v>
      </c>
    </row>
    <row r="30" customFormat="false" ht="15" hidden="false" customHeight="false" outlineLevel="0" collapsed="false">
      <c r="B30" s="4" t="s">
        <v>24</v>
      </c>
    </row>
    <row r="31" customFormat="false" ht="15" hidden="false" customHeight="false" outlineLevel="0" collapsed="false">
      <c r="B31" s="4" t="s">
        <v>25</v>
      </c>
    </row>
    <row r="33" customFormat="false" ht="15" hidden="false" customHeight="false" outlineLevel="0" collapsed="false">
      <c r="B33" s="3" t="s">
        <v>26</v>
      </c>
    </row>
    <row r="34" customFormat="false" ht="23.85" hidden="false" customHeight="false" outlineLevel="0" collapsed="false">
      <c r="B34" s="4" t="s">
        <v>27</v>
      </c>
    </row>
    <row r="35" customFormat="false" ht="35.05" hidden="false" customHeight="false" outlineLevel="0" collapsed="false">
      <c r="B35" s="4" t="s">
        <v>28</v>
      </c>
    </row>
    <row r="36" customFormat="false" ht="23.85" hidden="false" customHeight="false" outlineLevel="0" collapsed="false">
      <c r="B36" s="4" t="s">
        <v>29</v>
      </c>
    </row>
    <row r="38" customFormat="false" ht="15" hidden="false" customHeight="false" outlineLevel="0" collapsed="false">
      <c r="B38" s="5" t="s">
        <v>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P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8"/>
    <col collapsed="false" customWidth="true" hidden="false" outlineLevel="0" max="3" min="3" style="0" width="14"/>
    <col collapsed="false" customWidth="true" hidden="false" outlineLevel="0" max="15" min="4" style="0" width="12.5"/>
    <col collapsed="false" customWidth="true" hidden="false" outlineLevel="0" max="16" min="16" style="0" width="60"/>
  </cols>
  <sheetData>
    <row r="2" customFormat="false" ht="17.35" hidden="false" customHeight="false" outlineLevel="0" collapsed="false">
      <c r="B2" s="1" t="s">
        <v>31</v>
      </c>
    </row>
    <row r="3" customFormat="false" ht="15" hidden="false" customHeight="false" outlineLevel="0" collapsed="false">
      <c r="B3" s="6" t="s">
        <v>32</v>
      </c>
    </row>
    <row r="4" customFormat="false" ht="15" hidden="false" customHeight="false" outlineLevel="0" collapsed="false">
      <c r="B4" s="7" t="s">
        <v>33</v>
      </c>
      <c r="C4" s="8" t="s">
        <v>34</v>
      </c>
    </row>
    <row r="5" customFormat="false" ht="15" hidden="false" customHeight="false" outlineLevel="0" collapsed="false">
      <c r="B5" s="7" t="s">
        <v>35</v>
      </c>
      <c r="C5" s="9" t="n">
        <v>45962</v>
      </c>
      <c r="D5" s="5" t="s">
        <v>36</v>
      </c>
    </row>
    <row r="6" customFormat="false" ht="15" hidden="false" customHeight="false" outlineLevel="0" collapsed="false">
      <c r="B6" s="7" t="s">
        <v>37</v>
      </c>
      <c r="C6" s="10" t="n">
        <v>60</v>
      </c>
      <c r="D6" s="5" t="s">
        <v>38</v>
      </c>
    </row>
    <row r="8" customFormat="false" ht="15" hidden="false" customHeight="false" outlineLevel="0" collapsed="false">
      <c r="B8" s="11" t="s">
        <v>39</v>
      </c>
      <c r="D8" s="12" t="n">
        <f aca="false">C5</f>
        <v>45962</v>
      </c>
      <c r="E8" s="12" t="n">
        <f aca="false">EDATE(D8,1)</f>
        <v>45992</v>
      </c>
      <c r="F8" s="12" t="n">
        <f aca="false">EDATE(E8,1)</f>
        <v>46023</v>
      </c>
      <c r="G8" s="12" t="n">
        <f aca="false">EDATE(F8,1)</f>
        <v>46054</v>
      </c>
      <c r="H8" s="12" t="n">
        <f aca="false">EDATE(G8,1)</f>
        <v>46082</v>
      </c>
      <c r="I8" s="12" t="n">
        <f aca="false">EDATE(H8,1)</f>
        <v>46113</v>
      </c>
      <c r="J8" s="12" t="n">
        <f aca="false">EDATE(I8,1)</f>
        <v>46143</v>
      </c>
      <c r="K8" s="12" t="n">
        <f aca="false">EDATE(J8,1)</f>
        <v>46174</v>
      </c>
      <c r="L8" s="12" t="n">
        <f aca="false">EDATE(K8,1)</f>
        <v>46204</v>
      </c>
      <c r="M8" s="12" t="n">
        <f aca="false">EDATE(L8,1)</f>
        <v>46235</v>
      </c>
      <c r="N8" s="12" t="n">
        <f aca="false">EDATE(M8,1)</f>
        <v>46266</v>
      </c>
      <c r="O8" s="12" t="n">
        <f aca="false">EDATE(N8,1)</f>
        <v>46296</v>
      </c>
    </row>
    <row r="10" customFormat="false" ht="15" hidden="false" customHeight="false" outlineLevel="0" collapsed="false">
      <c r="B10" s="3" t="s">
        <v>40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customFormat="false" ht="15" hidden="false" customHeight="false" outlineLevel="0" collapsed="false">
      <c r="B11" s="7" t="s">
        <v>41</v>
      </c>
      <c r="D11" s="10" t="n">
        <v>171</v>
      </c>
      <c r="E11" s="14" t="n">
        <f aca="false">D14</f>
        <v>191</v>
      </c>
      <c r="F11" s="14" t="n">
        <f aca="false">E14</f>
        <v>212</v>
      </c>
      <c r="G11" s="14" t="n">
        <f aca="false">F14</f>
        <v>233</v>
      </c>
      <c r="H11" s="14" t="n">
        <f aca="false">G14</f>
        <v>253</v>
      </c>
      <c r="I11" s="14" t="n">
        <f aca="false">H14</f>
        <v>275</v>
      </c>
      <c r="J11" s="14" t="n">
        <f aca="false">I14</f>
        <v>295</v>
      </c>
      <c r="K11" s="14" t="n">
        <f aca="false">J14</f>
        <v>317</v>
      </c>
      <c r="L11" s="14" t="n">
        <f aca="false">K14</f>
        <v>337</v>
      </c>
      <c r="M11" s="14" t="n">
        <f aca="false">L14</f>
        <v>359</v>
      </c>
      <c r="N11" s="14" t="n">
        <f aca="false">M14</f>
        <v>379</v>
      </c>
      <c r="O11" s="14" t="n">
        <f aca="false">N14</f>
        <v>400</v>
      </c>
      <c r="P11" s="5" t="s">
        <v>42</v>
      </c>
    </row>
    <row r="12" customFormat="false" ht="15" hidden="false" customHeight="false" outlineLevel="0" collapsed="false">
      <c r="B12" s="7" t="s">
        <v>43</v>
      </c>
      <c r="D12" s="10" t="n">
        <v>24</v>
      </c>
      <c r="E12" s="10" t="n">
        <v>25</v>
      </c>
      <c r="F12" s="10" t="n">
        <v>26</v>
      </c>
      <c r="G12" s="10" t="n">
        <v>25</v>
      </c>
      <c r="H12" s="10" t="n">
        <v>27</v>
      </c>
      <c r="I12" s="10" t="n">
        <v>26</v>
      </c>
      <c r="J12" s="10" t="n">
        <v>28</v>
      </c>
      <c r="K12" s="10" t="n">
        <v>27</v>
      </c>
      <c r="L12" s="10" t="n">
        <v>29</v>
      </c>
      <c r="M12" s="10" t="n">
        <v>28</v>
      </c>
      <c r="N12" s="10" t="n">
        <v>29</v>
      </c>
      <c r="O12" s="10" t="n">
        <v>30</v>
      </c>
      <c r="P12" s="5" t="s">
        <v>44</v>
      </c>
    </row>
    <row r="13" customFormat="false" ht="15" hidden="false" customHeight="false" outlineLevel="0" collapsed="false">
      <c r="B13" s="7" t="s">
        <v>45</v>
      </c>
      <c r="D13" s="10" t="n">
        <v>4</v>
      </c>
      <c r="E13" s="10" t="n">
        <v>4</v>
      </c>
      <c r="F13" s="10" t="n">
        <v>5</v>
      </c>
      <c r="G13" s="10" t="n">
        <v>5</v>
      </c>
      <c r="H13" s="10" t="n">
        <v>5</v>
      </c>
      <c r="I13" s="10" t="n">
        <v>6</v>
      </c>
      <c r="J13" s="10" t="n">
        <v>6</v>
      </c>
      <c r="K13" s="10" t="n">
        <v>7</v>
      </c>
      <c r="L13" s="10" t="n">
        <v>7</v>
      </c>
      <c r="M13" s="10" t="n">
        <v>8</v>
      </c>
      <c r="N13" s="10" t="n">
        <v>8</v>
      </c>
      <c r="O13" s="10" t="n">
        <v>8</v>
      </c>
      <c r="P13" s="5" t="s">
        <v>46</v>
      </c>
    </row>
    <row r="14" customFormat="false" ht="15" hidden="false" customHeight="false" outlineLevel="0" collapsed="false">
      <c r="B14" s="11" t="s">
        <v>47</v>
      </c>
      <c r="D14" s="15" t="n">
        <f aca="false">D11+D12-D13</f>
        <v>191</v>
      </c>
      <c r="E14" s="15" t="n">
        <f aca="false">E11+E12-E13</f>
        <v>212</v>
      </c>
      <c r="F14" s="15" t="n">
        <f aca="false">F11+F12-F13</f>
        <v>233</v>
      </c>
      <c r="G14" s="15" t="n">
        <f aca="false">G11+G12-G13</f>
        <v>253</v>
      </c>
      <c r="H14" s="15" t="n">
        <f aca="false">H11+H12-H13</f>
        <v>275</v>
      </c>
      <c r="I14" s="15" t="n">
        <f aca="false">I11+I12-I13</f>
        <v>295</v>
      </c>
      <c r="J14" s="15" t="n">
        <f aca="false">J11+J12-J13</f>
        <v>317</v>
      </c>
      <c r="K14" s="15" t="n">
        <f aca="false">K11+K12-K13</f>
        <v>337</v>
      </c>
      <c r="L14" s="15" t="n">
        <f aca="false">L11+L12-L13</f>
        <v>359</v>
      </c>
      <c r="M14" s="15" t="n">
        <f aca="false">M11+M12-M13</f>
        <v>379</v>
      </c>
      <c r="N14" s="15" t="n">
        <f aca="false">N11+N12-N13</f>
        <v>400</v>
      </c>
      <c r="O14" s="15" t="n">
        <f aca="false">O11+O12-O13</f>
        <v>422</v>
      </c>
    </row>
    <row r="16" customFormat="false" ht="15" hidden="false" customHeight="false" outlineLevel="0" collapsed="false">
      <c r="B16" s="3" t="s">
        <v>48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customFormat="false" ht="15" hidden="false" customHeight="false" outlineLevel="0" collapsed="false">
      <c r="B17" s="7" t="s">
        <v>49</v>
      </c>
      <c r="D17" s="16" t="n">
        <v>90830</v>
      </c>
      <c r="E17" s="17" t="n">
        <f aca="false">D22</f>
        <v>101090</v>
      </c>
      <c r="F17" s="17" t="n">
        <f aca="false">E22</f>
        <v>111890</v>
      </c>
      <c r="G17" s="17" t="n">
        <f aca="false">F22</f>
        <v>122580</v>
      </c>
      <c r="H17" s="17" t="n">
        <f aca="false">G22</f>
        <v>133105</v>
      </c>
      <c r="I17" s="17" t="n">
        <f aca="false">H22</f>
        <v>144520</v>
      </c>
      <c r="J17" s="17" t="n">
        <f aca="false">I22</f>
        <v>154940</v>
      </c>
      <c r="K17" s="17" t="n">
        <f aca="false">J22</f>
        <v>166350</v>
      </c>
      <c r="L17" s="17" t="n">
        <f aca="false">K22</f>
        <v>176850</v>
      </c>
      <c r="M17" s="17" t="n">
        <f aca="false">L22</f>
        <v>188400</v>
      </c>
      <c r="N17" s="17" t="n">
        <f aca="false">M22</f>
        <v>198950</v>
      </c>
      <c r="O17" s="17" t="n">
        <f aca="false">N22</f>
        <v>210000</v>
      </c>
      <c r="P17" s="5" t="s">
        <v>50</v>
      </c>
    </row>
    <row r="18" customFormat="false" ht="15" hidden="false" customHeight="false" outlineLevel="0" collapsed="false">
      <c r="B18" s="7" t="s">
        <v>51</v>
      </c>
      <c r="D18" s="16" t="n">
        <v>11760</v>
      </c>
      <c r="E18" s="16" t="n">
        <v>12250</v>
      </c>
      <c r="F18" s="16" t="n">
        <v>12740</v>
      </c>
      <c r="G18" s="16" t="n">
        <v>12375</v>
      </c>
      <c r="H18" s="16" t="n">
        <v>13365</v>
      </c>
      <c r="I18" s="16" t="n">
        <v>12870</v>
      </c>
      <c r="J18" s="16" t="n">
        <v>13860</v>
      </c>
      <c r="K18" s="16" t="n">
        <v>13500</v>
      </c>
      <c r="L18" s="16" t="n">
        <v>14500</v>
      </c>
      <c r="M18" s="16" t="n">
        <v>14000</v>
      </c>
      <c r="N18" s="16" t="n">
        <v>14500</v>
      </c>
      <c r="O18" s="16" t="n">
        <v>15000</v>
      </c>
      <c r="P18" s="5" t="s">
        <v>52</v>
      </c>
    </row>
    <row r="19" customFormat="false" ht="15" hidden="false" customHeight="false" outlineLevel="0" collapsed="false">
      <c r="B19" s="7" t="s">
        <v>53</v>
      </c>
      <c r="D19" s="16" t="n">
        <v>2400</v>
      </c>
      <c r="E19" s="16" t="n">
        <v>2500</v>
      </c>
      <c r="F19" s="16" t="n">
        <v>2450</v>
      </c>
      <c r="G19" s="16" t="n">
        <v>2600</v>
      </c>
      <c r="H19" s="16" t="n">
        <v>2700</v>
      </c>
      <c r="I19" s="16" t="n">
        <v>2650</v>
      </c>
      <c r="J19" s="16" t="n">
        <v>2750</v>
      </c>
      <c r="K19" s="16" t="n">
        <v>2800</v>
      </c>
      <c r="L19" s="16" t="n">
        <v>2900</v>
      </c>
      <c r="M19" s="16" t="n">
        <v>2850</v>
      </c>
      <c r="N19" s="16" t="n">
        <v>2950</v>
      </c>
      <c r="O19" s="16" t="n">
        <v>3000</v>
      </c>
      <c r="P19" s="5" t="s">
        <v>54</v>
      </c>
    </row>
    <row r="20" customFormat="false" ht="15" hidden="false" customHeight="false" outlineLevel="0" collapsed="false">
      <c r="B20" s="7" t="s">
        <v>55</v>
      </c>
      <c r="D20" s="16" t="n">
        <v>1800</v>
      </c>
      <c r="E20" s="16" t="n">
        <v>1850</v>
      </c>
      <c r="F20" s="16" t="n">
        <v>1900</v>
      </c>
      <c r="G20" s="16" t="n">
        <v>1850</v>
      </c>
      <c r="H20" s="16" t="n">
        <v>2000</v>
      </c>
      <c r="I20" s="16" t="n">
        <v>1950</v>
      </c>
      <c r="J20" s="16" t="n">
        <v>2050</v>
      </c>
      <c r="K20" s="16" t="n">
        <v>2100</v>
      </c>
      <c r="L20" s="16" t="n">
        <v>2150</v>
      </c>
      <c r="M20" s="16" t="n">
        <v>2100</v>
      </c>
      <c r="N20" s="16" t="n">
        <v>2200</v>
      </c>
      <c r="O20" s="16" t="n">
        <v>2250</v>
      </c>
      <c r="P20" s="5" t="s">
        <v>56</v>
      </c>
    </row>
    <row r="21" customFormat="false" ht="15" hidden="false" customHeight="false" outlineLevel="0" collapsed="false">
      <c r="B21" s="7" t="s">
        <v>57</v>
      </c>
      <c r="D21" s="16" t="n">
        <v>2100</v>
      </c>
      <c r="E21" s="16" t="n">
        <v>2100</v>
      </c>
      <c r="F21" s="16" t="n">
        <v>2600</v>
      </c>
      <c r="G21" s="16" t="n">
        <v>2600</v>
      </c>
      <c r="H21" s="16" t="n">
        <v>2650</v>
      </c>
      <c r="I21" s="16" t="n">
        <v>3150</v>
      </c>
      <c r="J21" s="16" t="n">
        <v>3150</v>
      </c>
      <c r="K21" s="16" t="n">
        <v>3700</v>
      </c>
      <c r="L21" s="16" t="n">
        <v>3700</v>
      </c>
      <c r="M21" s="16" t="n">
        <v>4200</v>
      </c>
      <c r="N21" s="16" t="n">
        <v>4200</v>
      </c>
      <c r="O21" s="16" t="n">
        <v>4200</v>
      </c>
      <c r="P21" s="5" t="s">
        <v>58</v>
      </c>
    </row>
    <row r="22" customFormat="false" ht="15" hidden="false" customHeight="false" outlineLevel="0" collapsed="false">
      <c r="B22" s="11" t="s">
        <v>59</v>
      </c>
      <c r="D22" s="18" t="n">
        <f aca="false">D17+D18+D19-D20-D21</f>
        <v>101090</v>
      </c>
      <c r="E22" s="18" t="n">
        <f aca="false">E17+E18+E19-E20-E21</f>
        <v>111890</v>
      </c>
      <c r="F22" s="18" t="n">
        <f aca="false">F17+F18+F19-F20-F21</f>
        <v>122580</v>
      </c>
      <c r="G22" s="18" t="n">
        <f aca="false">G17+G18+G19-G20-G21</f>
        <v>133105</v>
      </c>
      <c r="H22" s="18" t="n">
        <f aca="false">H17+H18+H19-H20-H21</f>
        <v>144520</v>
      </c>
      <c r="I22" s="18" t="n">
        <f aca="false">I17+I18+I19-I20-I21</f>
        <v>154940</v>
      </c>
      <c r="J22" s="18" t="n">
        <f aca="false">J17+J18+J19-J20-J21</f>
        <v>166350</v>
      </c>
      <c r="K22" s="18" t="n">
        <f aca="false">K17+K18+K19-K20-K21</f>
        <v>176850</v>
      </c>
      <c r="L22" s="18" t="n">
        <f aca="false">L17+L18+L19-L20-L21</f>
        <v>188400</v>
      </c>
      <c r="M22" s="18" t="n">
        <f aca="false">M17+M18+M19-M20-M21</f>
        <v>198950</v>
      </c>
      <c r="N22" s="18" t="n">
        <f aca="false">N17+N18+N19-N20-N21</f>
        <v>210000</v>
      </c>
      <c r="O22" s="18" t="n">
        <f aca="false">O17+O18+O19-O20-O21</f>
        <v>221550</v>
      </c>
    </row>
    <row r="24" customFormat="false" ht="15" hidden="false" customHeight="false" outlineLevel="0" collapsed="false">
      <c r="B24" s="3" t="s">
        <v>60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customFormat="false" ht="15" hidden="false" customHeight="false" outlineLevel="0" collapsed="false">
      <c r="B25" s="7" t="s">
        <v>61</v>
      </c>
      <c r="D25" s="16" t="n">
        <v>96000</v>
      </c>
      <c r="E25" s="16" t="n">
        <v>106500</v>
      </c>
      <c r="F25" s="16" t="n">
        <v>117000</v>
      </c>
      <c r="G25" s="16" t="n">
        <v>128000</v>
      </c>
      <c r="H25" s="16" t="n">
        <v>139000</v>
      </c>
      <c r="I25" s="16" t="n">
        <v>149500</v>
      </c>
      <c r="J25" s="16" t="n">
        <v>160500</v>
      </c>
      <c r="K25" s="16" t="n">
        <v>171500</v>
      </c>
      <c r="L25" s="16" t="n">
        <v>182500</v>
      </c>
      <c r="M25" s="16" t="n">
        <v>193500</v>
      </c>
      <c r="N25" s="16" t="n">
        <v>204500</v>
      </c>
      <c r="O25" s="16" t="n">
        <v>215000</v>
      </c>
      <c r="P25" s="5" t="s">
        <v>62</v>
      </c>
    </row>
    <row r="26" customFormat="false" ht="15" hidden="false" customHeight="false" outlineLevel="0" collapsed="false">
      <c r="B26" s="7" t="s">
        <v>63</v>
      </c>
      <c r="D26" s="16" t="n">
        <v>19200</v>
      </c>
      <c r="E26" s="16" t="n">
        <v>21300</v>
      </c>
      <c r="F26" s="16" t="n">
        <v>23400</v>
      </c>
      <c r="G26" s="16" t="n">
        <v>25600</v>
      </c>
      <c r="H26" s="16" t="n">
        <v>27800</v>
      </c>
      <c r="I26" s="16" t="n">
        <v>29900</v>
      </c>
      <c r="J26" s="16" t="n">
        <v>32100</v>
      </c>
      <c r="K26" s="16" t="n">
        <v>34300</v>
      </c>
      <c r="L26" s="16" t="n">
        <v>36500</v>
      </c>
      <c r="M26" s="16" t="n">
        <v>38700</v>
      </c>
      <c r="N26" s="16" t="n">
        <v>40900</v>
      </c>
      <c r="O26" s="16" t="n">
        <v>43000</v>
      </c>
      <c r="P26" s="5" t="s">
        <v>64</v>
      </c>
    </row>
    <row r="27" customFormat="false" ht="15" hidden="false" customHeight="false" outlineLevel="0" collapsed="false">
      <c r="B27" s="7" t="s">
        <v>65</v>
      </c>
      <c r="D27" s="16" t="n">
        <v>14000</v>
      </c>
      <c r="E27" s="16" t="n">
        <v>15000</v>
      </c>
      <c r="F27" s="16" t="n">
        <v>13500</v>
      </c>
      <c r="G27" s="16" t="n">
        <v>16000</v>
      </c>
      <c r="H27" s="16" t="n">
        <v>17000</v>
      </c>
      <c r="I27" s="16" t="n">
        <v>16500</v>
      </c>
      <c r="J27" s="16" t="n">
        <v>18000</v>
      </c>
      <c r="K27" s="16" t="n">
        <v>17500</v>
      </c>
      <c r="L27" s="16" t="n">
        <v>19000</v>
      </c>
      <c r="M27" s="16" t="n">
        <v>18500</v>
      </c>
      <c r="N27" s="16" t="n">
        <v>19500</v>
      </c>
      <c r="O27" s="16" t="n">
        <v>20000</v>
      </c>
      <c r="P27" s="5" t="s">
        <v>66</v>
      </c>
    </row>
    <row r="28" customFormat="false" ht="15" hidden="false" customHeight="false" outlineLevel="0" collapsed="false">
      <c r="B28" s="7" t="s">
        <v>67</v>
      </c>
      <c r="D28" s="16" t="n">
        <v>9800</v>
      </c>
      <c r="E28" s="16" t="n">
        <v>10500</v>
      </c>
      <c r="F28" s="16" t="n">
        <v>9400</v>
      </c>
      <c r="G28" s="16" t="n">
        <v>11200</v>
      </c>
      <c r="H28" s="16" t="n">
        <v>11900</v>
      </c>
      <c r="I28" s="16" t="n">
        <v>11600</v>
      </c>
      <c r="J28" s="16" t="n">
        <v>12600</v>
      </c>
      <c r="K28" s="16" t="n">
        <v>12200</v>
      </c>
      <c r="L28" s="16" t="n">
        <v>13300</v>
      </c>
      <c r="M28" s="16" t="n">
        <v>13000</v>
      </c>
      <c r="N28" s="16" t="n">
        <v>13600</v>
      </c>
      <c r="O28" s="16" t="n">
        <v>14000</v>
      </c>
      <c r="P28" s="5" t="s">
        <v>68</v>
      </c>
    </row>
    <row r="29" customFormat="false" ht="15" hidden="false" customHeight="false" outlineLevel="0" collapsed="false">
      <c r="B29" s="7" t="s">
        <v>69</v>
      </c>
      <c r="D29" s="16" t="n">
        <v>96000</v>
      </c>
      <c r="E29" s="16" t="n">
        <v>100000</v>
      </c>
      <c r="F29" s="16" t="n">
        <v>104000</v>
      </c>
      <c r="G29" s="16" t="n">
        <v>100000</v>
      </c>
      <c r="H29" s="16" t="n">
        <v>108000</v>
      </c>
      <c r="I29" s="16" t="n">
        <v>104000</v>
      </c>
      <c r="J29" s="16" t="n">
        <v>112000</v>
      </c>
      <c r="K29" s="16" t="n">
        <v>108000</v>
      </c>
      <c r="L29" s="16" t="n">
        <v>116000</v>
      </c>
      <c r="M29" s="16" t="n">
        <v>112000</v>
      </c>
      <c r="N29" s="16" t="n">
        <v>116000</v>
      </c>
      <c r="O29" s="16" t="n">
        <v>120000</v>
      </c>
      <c r="P29" s="5" t="s">
        <v>70</v>
      </c>
    </row>
    <row r="31" customFormat="false" ht="15" hidden="false" customHeight="false" outlineLevel="0" collapsed="false">
      <c r="B31" s="3" t="s">
        <v>71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customFormat="false" ht="15" hidden="false" customHeight="false" outlineLevel="0" collapsed="false">
      <c r="B32" s="7" t="s">
        <v>72</v>
      </c>
      <c r="D32" s="16" t="n">
        <v>1375000</v>
      </c>
      <c r="E32" s="16" t="n">
        <v>1325000</v>
      </c>
      <c r="F32" s="16" t="n">
        <v>1276000</v>
      </c>
      <c r="G32" s="16" t="n">
        <v>1229000</v>
      </c>
      <c r="H32" s="16" t="n">
        <v>1183000</v>
      </c>
      <c r="I32" s="16" t="n">
        <v>1139000</v>
      </c>
      <c r="J32" s="16" t="n">
        <v>1096000</v>
      </c>
      <c r="K32" s="16" t="n">
        <v>1055000</v>
      </c>
      <c r="L32" s="16" t="n">
        <v>1015000</v>
      </c>
      <c r="M32" s="16" t="n">
        <v>977000</v>
      </c>
      <c r="N32" s="16" t="n">
        <v>942000</v>
      </c>
      <c r="O32" s="16" t="n">
        <v>910000</v>
      </c>
      <c r="P32" s="5" t="s">
        <v>73</v>
      </c>
    </row>
    <row r="33" customFormat="false" ht="15" hidden="false" customHeight="false" outlineLevel="0" collapsed="false">
      <c r="B33" s="7" t="s">
        <v>74</v>
      </c>
      <c r="D33" s="16" t="n">
        <v>52000</v>
      </c>
      <c r="E33" s="16" t="n">
        <v>50000</v>
      </c>
      <c r="F33" s="16" t="n">
        <v>49000</v>
      </c>
      <c r="G33" s="16" t="n">
        <v>47000</v>
      </c>
      <c r="H33" s="16" t="n">
        <v>46000</v>
      </c>
      <c r="I33" s="16" t="n">
        <v>44000</v>
      </c>
      <c r="J33" s="16" t="n">
        <v>43000</v>
      </c>
      <c r="K33" s="16" t="n">
        <v>41000</v>
      </c>
      <c r="L33" s="16" t="n">
        <v>40000</v>
      </c>
      <c r="M33" s="16" t="n">
        <v>38000</v>
      </c>
      <c r="N33" s="16" t="n">
        <v>35000</v>
      </c>
      <c r="O33" s="16" t="n">
        <v>32000</v>
      </c>
      <c r="P33" s="5" t="s">
        <v>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P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0"/>
    <col collapsed="false" customWidth="true" hidden="false" outlineLevel="0" max="3" min="3" style="0" width="4"/>
    <col collapsed="false" customWidth="true" hidden="false" outlineLevel="0" max="15" min="4" style="0" width="12.5"/>
    <col collapsed="false" customWidth="true" hidden="false" outlineLevel="0" max="16" min="16" style="0" width="64"/>
  </cols>
  <sheetData>
    <row r="2" customFormat="false" ht="17.35" hidden="false" customHeight="false" outlineLevel="0" collapsed="false">
      <c r="B2" s="1" t="str">
        <f aca="false">Inputs!C4&amp;" · SaaS metrics"</f>
        <v>Sample SaaS Co. · SaaS metrics</v>
      </c>
    </row>
    <row r="3" customFormat="false" ht="15" hidden="false" customHeight="false" outlineLevel="0" collapsed="false">
      <c r="B3" s="6" t="s">
        <v>76</v>
      </c>
    </row>
    <row r="8" customFormat="false" ht="15" hidden="false" customHeight="false" outlineLevel="0" collapsed="false">
      <c r="B8" s="11" t="s">
        <v>39</v>
      </c>
      <c r="D8" s="12" t="n">
        <f aca="false">Inputs!D8</f>
        <v>45962</v>
      </c>
      <c r="E8" s="12" t="n">
        <f aca="false">Inputs!E8</f>
        <v>45992</v>
      </c>
      <c r="F8" s="12" t="n">
        <f aca="false">Inputs!F8</f>
        <v>46023</v>
      </c>
      <c r="G8" s="12" t="n">
        <f aca="false">Inputs!G8</f>
        <v>46054</v>
      </c>
      <c r="H8" s="12" t="n">
        <f aca="false">Inputs!H8</f>
        <v>46082</v>
      </c>
      <c r="I8" s="12" t="n">
        <f aca="false">Inputs!I8</f>
        <v>46113</v>
      </c>
      <c r="J8" s="12" t="n">
        <f aca="false">Inputs!J8</f>
        <v>46143</v>
      </c>
      <c r="K8" s="12" t="n">
        <f aca="false">Inputs!K8</f>
        <v>46174</v>
      </c>
      <c r="L8" s="12" t="n">
        <f aca="false">Inputs!L8</f>
        <v>46204</v>
      </c>
      <c r="M8" s="12" t="n">
        <f aca="false">Inputs!M8</f>
        <v>46235</v>
      </c>
      <c r="N8" s="12" t="n">
        <f aca="false">Inputs!N8</f>
        <v>46266</v>
      </c>
      <c r="O8" s="12" t="n">
        <f aca="false">Inputs!O8</f>
        <v>46296</v>
      </c>
    </row>
    <row r="10" customFormat="false" ht="15" hidden="false" customHeight="false" outlineLevel="0" collapsed="false">
      <c r="B10" s="3" t="s">
        <v>77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</row>
    <row r="11" customFormat="false" ht="15" hidden="false" customHeight="false" outlineLevel="0" collapsed="false">
      <c r="B11" s="11" t="s">
        <v>59</v>
      </c>
      <c r="D11" s="19" t="n">
        <f aca="false">Inputs!D22</f>
        <v>101090</v>
      </c>
      <c r="E11" s="19" t="n">
        <f aca="false">Inputs!E22</f>
        <v>111890</v>
      </c>
      <c r="F11" s="19" t="n">
        <f aca="false">Inputs!F22</f>
        <v>122580</v>
      </c>
      <c r="G11" s="19" t="n">
        <f aca="false">Inputs!G22</f>
        <v>133105</v>
      </c>
      <c r="H11" s="19" t="n">
        <f aca="false">Inputs!H22</f>
        <v>144520</v>
      </c>
      <c r="I11" s="19" t="n">
        <f aca="false">Inputs!I22</f>
        <v>154940</v>
      </c>
      <c r="J11" s="19" t="n">
        <f aca="false">Inputs!J22</f>
        <v>166350</v>
      </c>
      <c r="K11" s="19" t="n">
        <f aca="false">Inputs!K22</f>
        <v>176850</v>
      </c>
      <c r="L11" s="19" t="n">
        <f aca="false">Inputs!L22</f>
        <v>188400</v>
      </c>
      <c r="M11" s="19" t="n">
        <f aca="false">Inputs!M22</f>
        <v>198950</v>
      </c>
      <c r="N11" s="19" t="n">
        <f aca="false">Inputs!N22</f>
        <v>210000</v>
      </c>
      <c r="O11" s="19" t="n">
        <f aca="false">Inputs!O22</f>
        <v>221550</v>
      </c>
    </row>
    <row r="12" customFormat="false" ht="15" hidden="false" customHeight="false" outlineLevel="0" collapsed="false">
      <c r="B12" s="7" t="s">
        <v>78</v>
      </c>
      <c r="D12" s="17" t="n">
        <f aca="false">D11*12</f>
        <v>1213080</v>
      </c>
      <c r="E12" s="17" t="n">
        <f aca="false">E11*12</f>
        <v>1342680</v>
      </c>
      <c r="F12" s="17" t="n">
        <f aca="false">F11*12</f>
        <v>1470960</v>
      </c>
      <c r="G12" s="17" t="n">
        <f aca="false">G11*12</f>
        <v>1597260</v>
      </c>
      <c r="H12" s="17" t="n">
        <f aca="false">H11*12</f>
        <v>1734240</v>
      </c>
      <c r="I12" s="17" t="n">
        <f aca="false">I11*12</f>
        <v>1859280</v>
      </c>
      <c r="J12" s="17" t="n">
        <f aca="false">J11*12</f>
        <v>1996200</v>
      </c>
      <c r="K12" s="17" t="n">
        <f aca="false">K11*12</f>
        <v>2122200</v>
      </c>
      <c r="L12" s="17" t="n">
        <f aca="false">L11*12</f>
        <v>2260800</v>
      </c>
      <c r="M12" s="17" t="n">
        <f aca="false">M11*12</f>
        <v>2387400</v>
      </c>
      <c r="N12" s="17" t="n">
        <f aca="false">N11*12</f>
        <v>2520000</v>
      </c>
      <c r="O12" s="17" t="n">
        <f aca="false">O11*12</f>
        <v>2658600</v>
      </c>
      <c r="P12" s="5" t="s">
        <v>79</v>
      </c>
    </row>
    <row r="13" customFormat="false" ht="15" hidden="false" customHeight="false" outlineLevel="0" collapsed="false">
      <c r="B13" s="7" t="s">
        <v>80</v>
      </c>
      <c r="D13" s="17" t="n">
        <f aca="false">Inputs!D18+Inputs!D19-Inputs!D20-Inputs!D21</f>
        <v>10260</v>
      </c>
      <c r="E13" s="17" t="n">
        <f aca="false">Inputs!E18+Inputs!E19-Inputs!E20-Inputs!E21</f>
        <v>10800</v>
      </c>
      <c r="F13" s="17" t="n">
        <f aca="false">Inputs!F18+Inputs!F19-Inputs!F20-Inputs!F21</f>
        <v>10690</v>
      </c>
      <c r="G13" s="17" t="n">
        <f aca="false">Inputs!G18+Inputs!G19-Inputs!G20-Inputs!G21</f>
        <v>10525</v>
      </c>
      <c r="H13" s="17" t="n">
        <f aca="false">Inputs!H18+Inputs!H19-Inputs!H20-Inputs!H21</f>
        <v>11415</v>
      </c>
      <c r="I13" s="17" t="n">
        <f aca="false">Inputs!I18+Inputs!I19-Inputs!I20-Inputs!I21</f>
        <v>10420</v>
      </c>
      <c r="J13" s="17" t="n">
        <f aca="false">Inputs!J18+Inputs!J19-Inputs!J20-Inputs!J21</f>
        <v>11410</v>
      </c>
      <c r="K13" s="17" t="n">
        <f aca="false">Inputs!K18+Inputs!K19-Inputs!K20-Inputs!K21</f>
        <v>10500</v>
      </c>
      <c r="L13" s="17" t="n">
        <f aca="false">Inputs!L18+Inputs!L19-Inputs!L20-Inputs!L21</f>
        <v>11550</v>
      </c>
      <c r="M13" s="17" t="n">
        <f aca="false">Inputs!M18+Inputs!M19-Inputs!M20-Inputs!M21</f>
        <v>10550</v>
      </c>
      <c r="N13" s="17" t="n">
        <f aca="false">Inputs!N18+Inputs!N19-Inputs!N20-Inputs!N21</f>
        <v>11050</v>
      </c>
      <c r="O13" s="17" t="n">
        <f aca="false">Inputs!O18+Inputs!O19-Inputs!O20-Inputs!O21</f>
        <v>11550</v>
      </c>
      <c r="P13" s="5" t="s">
        <v>81</v>
      </c>
    </row>
    <row r="14" customFormat="false" ht="15" hidden="false" customHeight="false" outlineLevel="0" collapsed="false">
      <c r="B14" s="7" t="s">
        <v>82</v>
      </c>
      <c r="D14" s="20" t="n">
        <f aca="false">IFERROR(D13/Inputs!D17,0)</f>
        <v>0.112958273698117</v>
      </c>
      <c r="E14" s="20" t="n">
        <f aca="false">IFERROR(E13/Inputs!E17,0)</f>
        <v>0.106835493124938</v>
      </c>
      <c r="F14" s="20" t="n">
        <f aca="false">IFERROR(F13/Inputs!F17,0)</f>
        <v>0.095540262758066</v>
      </c>
      <c r="G14" s="20" t="n">
        <f aca="false">IFERROR(G13/Inputs!G17,0)</f>
        <v>0.0858622940120738</v>
      </c>
      <c r="H14" s="20" t="n">
        <f aca="false">IFERROR(H13/Inputs!H17,0)</f>
        <v>0.0857593629089816</v>
      </c>
      <c r="I14" s="20" t="n">
        <f aca="false">IFERROR(I13/Inputs!I17,0)</f>
        <v>0.0721007473014116</v>
      </c>
      <c r="J14" s="20" t="n">
        <f aca="false">IFERROR(J13/Inputs!J17,0)</f>
        <v>0.0736414095779011</v>
      </c>
      <c r="K14" s="20" t="n">
        <f aca="false">IFERROR(K13/Inputs!K17,0)</f>
        <v>0.0631199278629396</v>
      </c>
      <c r="L14" s="20" t="n">
        <f aca="false">IFERROR(L13/Inputs!L17,0)</f>
        <v>0.0653095843935539</v>
      </c>
      <c r="M14" s="20" t="n">
        <f aca="false">IFERROR(M13/Inputs!M17,0)</f>
        <v>0.0559978768577495</v>
      </c>
      <c r="N14" s="20" t="n">
        <f aca="false">IFERROR(N13/Inputs!N17,0)</f>
        <v>0.0555415933651671</v>
      </c>
      <c r="O14" s="20" t="n">
        <f aca="false">IFERROR(O13/Inputs!O17,0)</f>
        <v>0.055</v>
      </c>
      <c r="P14" s="5" t="s">
        <v>83</v>
      </c>
    </row>
    <row r="16" customFormat="false" ht="15" hidden="false" customHeight="false" outlineLevel="0" collapsed="false">
      <c r="B16" s="3" t="s">
        <v>84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customFormat="false" ht="15" hidden="false" customHeight="false" outlineLevel="0" collapsed="false">
      <c r="B17" s="7" t="s">
        <v>85</v>
      </c>
      <c r="D17" s="20" t="n">
        <f aca="false">IFERROR(Inputs!D13/Inputs!D11,0)</f>
        <v>0.0233918128654971</v>
      </c>
      <c r="E17" s="20" t="n">
        <f aca="false">IFERROR(Inputs!E13/Inputs!E11,0)</f>
        <v>0.0209424083769634</v>
      </c>
      <c r="F17" s="20" t="n">
        <f aca="false">IFERROR(Inputs!F13/Inputs!F11,0)</f>
        <v>0.0235849056603774</v>
      </c>
      <c r="G17" s="20" t="n">
        <f aca="false">IFERROR(Inputs!G13/Inputs!G11,0)</f>
        <v>0.0214592274678112</v>
      </c>
      <c r="H17" s="20" t="n">
        <f aca="false">IFERROR(Inputs!H13/Inputs!H11,0)</f>
        <v>0.0197628458498024</v>
      </c>
      <c r="I17" s="20" t="n">
        <f aca="false">IFERROR(Inputs!I13/Inputs!I11,0)</f>
        <v>0.0218181818181818</v>
      </c>
      <c r="J17" s="20" t="n">
        <f aca="false">IFERROR(Inputs!J13/Inputs!J11,0)</f>
        <v>0.0203389830508475</v>
      </c>
      <c r="K17" s="20" t="n">
        <f aca="false">IFERROR(Inputs!K13/Inputs!K11,0)</f>
        <v>0.0220820189274448</v>
      </c>
      <c r="L17" s="20" t="n">
        <f aca="false">IFERROR(Inputs!L13/Inputs!L11,0)</f>
        <v>0.0207715133531157</v>
      </c>
      <c r="M17" s="20" t="n">
        <f aca="false">IFERROR(Inputs!M13/Inputs!M11,0)</f>
        <v>0.0222841225626741</v>
      </c>
      <c r="N17" s="20" t="n">
        <f aca="false">IFERROR(Inputs!N13/Inputs!N11,0)</f>
        <v>0.0211081794195251</v>
      </c>
      <c r="O17" s="20" t="n">
        <f aca="false">IFERROR(Inputs!O13/Inputs!O11,0)</f>
        <v>0.02</v>
      </c>
      <c r="P17" s="5" t="s">
        <v>86</v>
      </c>
    </row>
    <row r="18" customFormat="false" ht="15" hidden="false" customHeight="false" outlineLevel="0" collapsed="false">
      <c r="B18" s="7" t="s">
        <v>87</v>
      </c>
      <c r="D18" s="20" t="n">
        <f aca="false">IFERROR(SUM(Inputs!D13:D13)/SUM(Inputs!D11:D11),0)</f>
        <v>0.0233918128654971</v>
      </c>
      <c r="E18" s="20" t="n">
        <f aca="false">IFERROR(SUM(Inputs!D13:E13)/SUM(Inputs!D11:E11),0)</f>
        <v>0.0220994475138122</v>
      </c>
      <c r="F18" s="20" t="n">
        <f aca="false">IFERROR(SUM(Inputs!D13:F13)/SUM(Inputs!D11:F11),0)</f>
        <v>0.0226480836236934</v>
      </c>
      <c r="G18" s="20" t="n">
        <f aca="false">IFERROR(SUM(Inputs!E13:G13)/SUM(Inputs!E11:G11),0)</f>
        <v>0.0220125786163522</v>
      </c>
      <c r="H18" s="20" t="n">
        <f aca="false">IFERROR(SUM(Inputs!F13:H13)/SUM(Inputs!F11:H11),0)</f>
        <v>0.0214899713467049</v>
      </c>
      <c r="I18" s="20" t="n">
        <f aca="false">IFERROR(SUM(Inputs!G13:I13)/SUM(Inputs!G11:I11),0)</f>
        <v>0.0210249671484888</v>
      </c>
      <c r="J18" s="20" t="n">
        <f aca="false">IFERROR(SUM(Inputs!H13:J13)/SUM(Inputs!H11:J11),0)</f>
        <v>0.0206561360874848</v>
      </c>
      <c r="K18" s="20" t="n">
        <f aca="false">IFERROR(SUM(Inputs!I13:K13)/SUM(Inputs!I11:K11),0)</f>
        <v>0.0214205186020293</v>
      </c>
      <c r="L18" s="20" t="n">
        <f aca="false">IFERROR(SUM(Inputs!J13:L13)/SUM(Inputs!J11:L11),0)</f>
        <v>0.0210748155953635</v>
      </c>
      <c r="M18" s="20" t="n">
        <f aca="false">IFERROR(SUM(Inputs!K13:M13)/SUM(Inputs!K11:M11),0)</f>
        <v>0.0217176702862784</v>
      </c>
      <c r="N18" s="20" t="n">
        <f aca="false">IFERROR(SUM(Inputs!L13:N13)/SUM(Inputs!L11:N11),0)</f>
        <v>0.0213953488372093</v>
      </c>
      <c r="O18" s="20" t="n">
        <f aca="false">IFERROR(SUM(Inputs!M13:O13)/SUM(Inputs!M11:O11),0)</f>
        <v>0.0210896309314587</v>
      </c>
      <c r="P18" s="5" t="s">
        <v>88</v>
      </c>
    </row>
    <row r="19" customFormat="false" ht="15" hidden="false" customHeight="false" outlineLevel="0" collapsed="false">
      <c r="B19" s="7" t="s">
        <v>89</v>
      </c>
      <c r="D19" s="20" t="n">
        <f aca="false">IFERROR((Inputs!D20+Inputs!D21)/Inputs!D17,0)</f>
        <v>0.0429373554992844</v>
      </c>
      <c r="E19" s="20" t="n">
        <f aca="false">IFERROR((Inputs!E20+Inputs!E21)/Inputs!E17,0)</f>
        <v>0.0390740923929172</v>
      </c>
      <c r="F19" s="20" t="n">
        <f aca="false">IFERROR((Inputs!F20+Inputs!F21)/Inputs!F17,0)</f>
        <v>0.0402180713200465</v>
      </c>
      <c r="G19" s="20" t="n">
        <f aca="false">IFERROR((Inputs!G20+Inputs!G21)/Inputs!G17,0)</f>
        <v>0.036302822646435</v>
      </c>
      <c r="H19" s="20" t="n">
        <f aca="false">IFERROR((Inputs!H20+Inputs!H21)/Inputs!H17,0)</f>
        <v>0.0349348258893355</v>
      </c>
      <c r="I19" s="20" t="n">
        <f aca="false">IFERROR((Inputs!I20+Inputs!I21)/Inputs!I17,0)</f>
        <v>0.0352892333241074</v>
      </c>
      <c r="J19" s="20" t="n">
        <f aca="false">IFERROR((Inputs!J20+Inputs!J21)/Inputs!J17,0)</f>
        <v>0.033561378598167</v>
      </c>
      <c r="K19" s="20" t="n">
        <f aca="false">IFERROR((Inputs!K20+Inputs!K21)/Inputs!K17,0)</f>
        <v>0.0348662458671476</v>
      </c>
      <c r="L19" s="20" t="n">
        <f aca="false">IFERROR((Inputs!L20+Inputs!L21)/Inputs!L17,0)</f>
        <v>0.0330788804071247</v>
      </c>
      <c r="M19" s="20" t="n">
        <f aca="false">IFERROR((Inputs!M20+Inputs!M21)/Inputs!M17,0)</f>
        <v>0.0334394904458599</v>
      </c>
      <c r="N19" s="20" t="n">
        <f aca="false">IFERROR((Inputs!N20+Inputs!N21)/Inputs!N17,0)</f>
        <v>0.0321688866549384</v>
      </c>
      <c r="O19" s="20" t="n">
        <f aca="false">IFERROR((Inputs!O20+Inputs!O21)/Inputs!O17,0)</f>
        <v>0.0307142857142857</v>
      </c>
      <c r="P19" s="5" t="s">
        <v>90</v>
      </c>
    </row>
    <row r="20" customFormat="false" ht="15" hidden="false" customHeight="false" outlineLevel="0" collapsed="false">
      <c r="B20" s="7" t="s">
        <v>91</v>
      </c>
      <c r="D20" s="20" t="n">
        <f aca="false">IFERROR((Inputs!D17+Inputs!D19-Inputs!D20-Inputs!D21)/Inputs!D17,0)</f>
        <v>0.983485632500275</v>
      </c>
      <c r="E20" s="20" t="n">
        <f aca="false">IFERROR((Inputs!E17+Inputs!E19-Inputs!E20-Inputs!E21)/Inputs!E17,0)</f>
        <v>0.985656345830448</v>
      </c>
      <c r="F20" s="20" t="n">
        <f aca="false">IFERROR((Inputs!F17+Inputs!F19-Inputs!F20-Inputs!F21)/Inputs!F17,0)</f>
        <v>0.981678434176423</v>
      </c>
      <c r="G20" s="20" t="n">
        <f aca="false">IFERROR((Inputs!G17+Inputs!G19-Inputs!G20-Inputs!G21)/Inputs!G17,0)</f>
        <v>0.984907815304291</v>
      </c>
      <c r="H20" s="20" t="n">
        <f aca="false">IFERROR((Inputs!H17+Inputs!H19-Inputs!H20-Inputs!H21)/Inputs!H17,0)</f>
        <v>0.985349911723827</v>
      </c>
      <c r="I20" s="20" t="n">
        <f aca="false">IFERROR((Inputs!I17+Inputs!I19-Inputs!I20-Inputs!I21)/Inputs!I17,0)</f>
        <v>0.983047329089399</v>
      </c>
      <c r="J20" s="20" t="n">
        <f aca="false">IFERROR((Inputs!J17+Inputs!J19-Inputs!J20-Inputs!J21)/Inputs!J17,0)</f>
        <v>0.984187427391248</v>
      </c>
      <c r="K20" s="20" t="n">
        <f aca="false">IFERROR((Inputs!K17+Inputs!K19-Inputs!K20-Inputs!K21)/Inputs!K17,0)</f>
        <v>0.981965734896303</v>
      </c>
      <c r="L20" s="20" t="n">
        <f aca="false">IFERROR((Inputs!L17+Inputs!L19-Inputs!L20-Inputs!L21)/Inputs!L17,0)</f>
        <v>0.983319197059655</v>
      </c>
      <c r="M20" s="20" t="n">
        <f aca="false">IFERROR((Inputs!M17+Inputs!M19-Inputs!M20-Inputs!M21)/Inputs!M17,0)</f>
        <v>0.981687898089172</v>
      </c>
      <c r="N20" s="20" t="n">
        <f aca="false">IFERROR((Inputs!N17+Inputs!N19-Inputs!N20-Inputs!N21)/Inputs!N17,0)</f>
        <v>0.982658959537572</v>
      </c>
      <c r="O20" s="20" t="n">
        <f aca="false">IFERROR((Inputs!O17+Inputs!O19-Inputs!O20-Inputs!O21)/Inputs!O17,0)</f>
        <v>0.983571428571429</v>
      </c>
      <c r="P20" s="5" t="s">
        <v>92</v>
      </c>
    </row>
    <row r="22" customFormat="false" ht="15" hidden="false" customHeight="false" outlineLevel="0" collapsed="false">
      <c r="B22" s="3" t="s">
        <v>93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customFormat="false" ht="15" hidden="false" customHeight="false" outlineLevel="0" collapsed="false">
      <c r="B23" s="7" t="s">
        <v>94</v>
      </c>
      <c r="D23" s="21" t="n">
        <f aca="false">IFERROR(Inputs!D22/Inputs!D14,0)</f>
        <v>529.267015706806</v>
      </c>
      <c r="E23" s="21" t="n">
        <f aca="false">IFERROR(Inputs!E22/Inputs!E14,0)</f>
        <v>527.783018867925</v>
      </c>
      <c r="F23" s="21" t="n">
        <f aca="false">IFERROR(Inputs!F22/Inputs!F14,0)</f>
        <v>526.094420600858</v>
      </c>
      <c r="G23" s="21" t="n">
        <f aca="false">IFERROR(Inputs!G22/Inputs!G14,0)</f>
        <v>526.106719367589</v>
      </c>
      <c r="H23" s="21" t="n">
        <f aca="false">IFERROR(Inputs!H22/Inputs!H14,0)</f>
        <v>525.527272727273</v>
      </c>
      <c r="I23" s="21" t="n">
        <f aca="false">IFERROR(Inputs!I22/Inputs!I14,0)</f>
        <v>525.220338983051</v>
      </c>
      <c r="J23" s="21" t="n">
        <f aca="false">IFERROR(Inputs!J22/Inputs!J14,0)</f>
        <v>524.763406940063</v>
      </c>
      <c r="K23" s="21" t="n">
        <f aca="false">IFERROR(Inputs!K22/Inputs!K14,0)</f>
        <v>524.777448071217</v>
      </c>
      <c r="L23" s="21" t="n">
        <f aca="false">IFERROR(Inputs!L22/Inputs!L14,0)</f>
        <v>524.791086350975</v>
      </c>
      <c r="M23" s="21" t="n">
        <f aca="false">IFERROR(Inputs!M22/Inputs!M14,0)</f>
        <v>524.934036939314</v>
      </c>
      <c r="N23" s="21" t="n">
        <f aca="false">IFERROR(Inputs!N22/Inputs!N14,0)</f>
        <v>525</v>
      </c>
      <c r="O23" s="21" t="n">
        <f aca="false">IFERROR(Inputs!O22/Inputs!O14,0)</f>
        <v>525</v>
      </c>
      <c r="P23" s="5" t="s">
        <v>95</v>
      </c>
    </row>
    <row r="24" customFormat="false" ht="15" hidden="false" customHeight="false" outlineLevel="0" collapsed="false">
      <c r="B24" s="7" t="s">
        <v>96</v>
      </c>
      <c r="D24" s="21" t="n">
        <f aca="false">IFERROR(Inputs!D18/Inputs!D12,0)</f>
        <v>490</v>
      </c>
      <c r="E24" s="21" t="n">
        <f aca="false">IFERROR(Inputs!E18/Inputs!E12,0)</f>
        <v>490</v>
      </c>
      <c r="F24" s="21" t="n">
        <f aca="false">IFERROR(Inputs!F18/Inputs!F12,0)</f>
        <v>490</v>
      </c>
      <c r="G24" s="21" t="n">
        <f aca="false">IFERROR(Inputs!G18/Inputs!G12,0)</f>
        <v>495</v>
      </c>
      <c r="H24" s="21" t="n">
        <f aca="false">IFERROR(Inputs!H18/Inputs!H12,0)</f>
        <v>495</v>
      </c>
      <c r="I24" s="21" t="n">
        <f aca="false">IFERROR(Inputs!I18/Inputs!I12,0)</f>
        <v>495</v>
      </c>
      <c r="J24" s="21" t="n">
        <f aca="false">IFERROR(Inputs!J18/Inputs!J12,0)</f>
        <v>495</v>
      </c>
      <c r="K24" s="21" t="n">
        <f aca="false">IFERROR(Inputs!K18/Inputs!K12,0)</f>
        <v>500</v>
      </c>
      <c r="L24" s="21" t="n">
        <f aca="false">IFERROR(Inputs!L18/Inputs!L12,0)</f>
        <v>500</v>
      </c>
      <c r="M24" s="21" t="n">
        <f aca="false">IFERROR(Inputs!M18/Inputs!M12,0)</f>
        <v>500</v>
      </c>
      <c r="N24" s="21" t="n">
        <f aca="false">IFERROR(Inputs!N18/Inputs!N12,0)</f>
        <v>500</v>
      </c>
      <c r="O24" s="21" t="n">
        <f aca="false">IFERROR(Inputs!O18/Inputs!O12,0)</f>
        <v>500</v>
      </c>
      <c r="P24" s="5" t="s">
        <v>97</v>
      </c>
    </row>
    <row r="25" customFormat="false" ht="15" hidden="false" customHeight="false" outlineLevel="0" collapsed="false">
      <c r="B25" s="7" t="s">
        <v>98</v>
      </c>
      <c r="D25" s="17" t="n">
        <f aca="false">IFERROR(Inputs!D29/Inputs!D12,0)</f>
        <v>4000</v>
      </c>
      <c r="E25" s="17" t="n">
        <f aca="false">IFERROR(Inputs!E29/Inputs!E12,0)</f>
        <v>4000</v>
      </c>
      <c r="F25" s="17" t="n">
        <f aca="false">IFERROR(Inputs!F29/Inputs!F12,0)</f>
        <v>4000</v>
      </c>
      <c r="G25" s="17" t="n">
        <f aca="false">IFERROR(Inputs!G29/Inputs!G12,0)</f>
        <v>4000</v>
      </c>
      <c r="H25" s="17" t="n">
        <f aca="false">IFERROR(Inputs!H29/Inputs!H12,0)</f>
        <v>4000</v>
      </c>
      <c r="I25" s="17" t="n">
        <f aca="false">IFERROR(Inputs!I29/Inputs!I12,0)</f>
        <v>4000</v>
      </c>
      <c r="J25" s="17" t="n">
        <f aca="false">IFERROR(Inputs!J29/Inputs!J12,0)</f>
        <v>4000</v>
      </c>
      <c r="K25" s="17" t="n">
        <f aca="false">IFERROR(Inputs!K29/Inputs!K12,0)</f>
        <v>4000</v>
      </c>
      <c r="L25" s="17" t="n">
        <f aca="false">IFERROR(Inputs!L29/Inputs!L12,0)</f>
        <v>4000</v>
      </c>
      <c r="M25" s="17" t="n">
        <f aca="false">IFERROR(Inputs!M29/Inputs!M12,0)</f>
        <v>4000</v>
      </c>
      <c r="N25" s="17" t="n">
        <f aca="false">IFERROR(Inputs!N29/Inputs!N12,0)</f>
        <v>4000</v>
      </c>
      <c r="O25" s="17" t="n">
        <f aca="false">IFERROR(Inputs!O29/Inputs!O12,0)</f>
        <v>4000</v>
      </c>
      <c r="P25" s="5" t="s">
        <v>99</v>
      </c>
    </row>
    <row r="26" customFormat="false" ht="15" hidden="false" customHeight="false" outlineLevel="0" collapsed="false">
      <c r="B26" s="7" t="s">
        <v>100</v>
      </c>
      <c r="D26" s="17" t="n">
        <f aca="false">IFERROR(SUM(Inputs!D29:D29)/SUM(Inputs!D12:D12),0)</f>
        <v>4000</v>
      </c>
      <c r="E26" s="17" t="n">
        <f aca="false">IFERROR(SUM(Inputs!D29:E29)/SUM(Inputs!D12:E12),0)</f>
        <v>4000</v>
      </c>
      <c r="F26" s="17" t="n">
        <f aca="false">IFERROR(SUM(Inputs!D29:F29)/SUM(Inputs!D12:F12),0)</f>
        <v>4000</v>
      </c>
      <c r="G26" s="17" t="n">
        <f aca="false">IFERROR(SUM(Inputs!E29:G29)/SUM(Inputs!E12:G12),0)</f>
        <v>4000</v>
      </c>
      <c r="H26" s="17" t="n">
        <f aca="false">IFERROR(SUM(Inputs!F29:H29)/SUM(Inputs!F12:H12),0)</f>
        <v>4000</v>
      </c>
      <c r="I26" s="17" t="n">
        <f aca="false">IFERROR(SUM(Inputs!G29:I29)/SUM(Inputs!G12:I12),0)</f>
        <v>4000</v>
      </c>
      <c r="J26" s="17" t="n">
        <f aca="false">IFERROR(SUM(Inputs!H29:J29)/SUM(Inputs!H12:J12),0)</f>
        <v>4000</v>
      </c>
      <c r="K26" s="17" t="n">
        <f aca="false">IFERROR(SUM(Inputs!I29:K29)/SUM(Inputs!I12:K12),0)</f>
        <v>4000</v>
      </c>
      <c r="L26" s="17" t="n">
        <f aca="false">IFERROR(SUM(Inputs!J29:L29)/SUM(Inputs!J12:L12),0)</f>
        <v>4000</v>
      </c>
      <c r="M26" s="17" t="n">
        <f aca="false">IFERROR(SUM(Inputs!K29:M29)/SUM(Inputs!K12:M12),0)</f>
        <v>4000</v>
      </c>
      <c r="N26" s="17" t="n">
        <f aca="false">IFERROR(SUM(Inputs!L29:N29)/SUM(Inputs!L12:N12),0)</f>
        <v>4000</v>
      </c>
      <c r="O26" s="17" t="n">
        <f aca="false">IFERROR(SUM(Inputs!M29:O29)/SUM(Inputs!M12:O12),0)</f>
        <v>4000</v>
      </c>
    </row>
    <row r="27" customFormat="false" ht="15" hidden="false" customHeight="false" outlineLevel="0" collapsed="false">
      <c r="B27" s="7" t="s">
        <v>101</v>
      </c>
      <c r="D27" s="20" t="n">
        <f aca="false">IFERROR((Inputs!D25-Inputs!D26)/Inputs!D25,0)</f>
        <v>0.8</v>
      </c>
      <c r="E27" s="20" t="n">
        <f aca="false">IFERROR((Inputs!E25-Inputs!E26)/Inputs!E25,0)</f>
        <v>0.8</v>
      </c>
      <c r="F27" s="20" t="n">
        <f aca="false">IFERROR((Inputs!F25-Inputs!F26)/Inputs!F25,0)</f>
        <v>0.8</v>
      </c>
      <c r="G27" s="20" t="n">
        <f aca="false">IFERROR((Inputs!G25-Inputs!G26)/Inputs!G25,0)</f>
        <v>0.8</v>
      </c>
      <c r="H27" s="20" t="n">
        <f aca="false">IFERROR((Inputs!H25-Inputs!H26)/Inputs!H25,0)</f>
        <v>0.8</v>
      </c>
      <c r="I27" s="20" t="n">
        <f aca="false">IFERROR((Inputs!I25-Inputs!I26)/Inputs!I25,0)</f>
        <v>0.8</v>
      </c>
      <c r="J27" s="20" t="n">
        <f aca="false">IFERROR((Inputs!J25-Inputs!J26)/Inputs!J25,0)</f>
        <v>0.8</v>
      </c>
      <c r="K27" s="20" t="n">
        <f aca="false">IFERROR((Inputs!K25-Inputs!K26)/Inputs!K25,0)</f>
        <v>0.8</v>
      </c>
      <c r="L27" s="20" t="n">
        <f aca="false">IFERROR((Inputs!L25-Inputs!L26)/Inputs!L25,0)</f>
        <v>0.8</v>
      </c>
      <c r="M27" s="20" t="n">
        <f aca="false">IFERROR((Inputs!M25-Inputs!M26)/Inputs!M25,0)</f>
        <v>0.8</v>
      </c>
      <c r="N27" s="20" t="n">
        <f aca="false">IFERROR((Inputs!N25-Inputs!N26)/Inputs!N25,0)</f>
        <v>0.8</v>
      </c>
      <c r="O27" s="20" t="n">
        <f aca="false">IFERROR((Inputs!O25-Inputs!O26)/Inputs!O25,0)</f>
        <v>0.8</v>
      </c>
      <c r="P27" s="5" t="s">
        <v>102</v>
      </c>
    </row>
    <row r="28" customFormat="false" ht="15" hidden="false" customHeight="false" outlineLevel="0" collapsed="false">
      <c r="B28" s="11" t="s">
        <v>103</v>
      </c>
      <c r="D28" s="22" t="n">
        <f aca="false">IFERROR(D25/(D24*D27),0)</f>
        <v>10.2040816326531</v>
      </c>
      <c r="E28" s="22" t="n">
        <f aca="false">IFERROR(E25/(E24*E27),0)</f>
        <v>10.2040816326531</v>
      </c>
      <c r="F28" s="22" t="n">
        <f aca="false">IFERROR(F25/(F24*F27),0)</f>
        <v>10.2040816326531</v>
      </c>
      <c r="G28" s="22" t="n">
        <f aca="false">IFERROR(G25/(G24*G27),0)</f>
        <v>10.1010101010101</v>
      </c>
      <c r="H28" s="22" t="n">
        <f aca="false">IFERROR(H25/(H24*H27),0)</f>
        <v>10.1010101010101</v>
      </c>
      <c r="I28" s="22" t="n">
        <f aca="false">IFERROR(I25/(I24*I27),0)</f>
        <v>10.1010101010101</v>
      </c>
      <c r="J28" s="22" t="n">
        <f aca="false">IFERROR(J25/(J24*J27),0)</f>
        <v>10.1010101010101</v>
      </c>
      <c r="K28" s="22" t="n">
        <f aca="false">IFERROR(K25/(K24*K27),0)</f>
        <v>10</v>
      </c>
      <c r="L28" s="22" t="n">
        <f aca="false">IFERROR(L25/(L24*L27),0)</f>
        <v>10</v>
      </c>
      <c r="M28" s="22" t="n">
        <f aca="false">IFERROR(M25/(M24*M27),0)</f>
        <v>10</v>
      </c>
      <c r="N28" s="22" t="n">
        <f aca="false">IFERROR(N25/(N24*N27),0)</f>
        <v>10</v>
      </c>
      <c r="O28" s="22" t="n">
        <f aca="false">IFERROR(O25/(O24*O27),0)</f>
        <v>10</v>
      </c>
      <c r="P28" s="5" t="s">
        <v>104</v>
      </c>
    </row>
    <row r="29" customFormat="false" ht="15" hidden="false" customHeight="false" outlineLevel="0" collapsed="false">
      <c r="B29" s="7" t="s">
        <v>105</v>
      </c>
      <c r="D29" s="23" t="n">
        <f aca="false">IFERROR(MIN(1/D17,Inputs!$C$6),Inputs!$C$6)</f>
        <v>42.75</v>
      </c>
      <c r="E29" s="23" t="n">
        <f aca="false">IFERROR(MIN(1/E17,Inputs!$C$6),Inputs!$C$6)</f>
        <v>47.75</v>
      </c>
      <c r="F29" s="23" t="n">
        <f aca="false">IFERROR(MIN(1/F17,Inputs!$C$6),Inputs!$C$6)</f>
        <v>42.4</v>
      </c>
      <c r="G29" s="23" t="n">
        <f aca="false">IFERROR(MIN(1/G17,Inputs!$C$6),Inputs!$C$6)</f>
        <v>46.6</v>
      </c>
      <c r="H29" s="23" t="n">
        <f aca="false">IFERROR(MIN(1/H17,Inputs!$C$6),Inputs!$C$6)</f>
        <v>50.6</v>
      </c>
      <c r="I29" s="23" t="n">
        <f aca="false">IFERROR(MIN(1/I17,Inputs!$C$6),Inputs!$C$6)</f>
        <v>45.8333333333333</v>
      </c>
      <c r="J29" s="23" t="n">
        <f aca="false">IFERROR(MIN(1/J17,Inputs!$C$6),Inputs!$C$6)</f>
        <v>49.1666666666667</v>
      </c>
      <c r="K29" s="23" t="n">
        <f aca="false">IFERROR(MIN(1/K17,Inputs!$C$6),Inputs!$C$6)</f>
        <v>45.2857142857143</v>
      </c>
      <c r="L29" s="23" t="n">
        <f aca="false">IFERROR(MIN(1/L17,Inputs!$C$6),Inputs!$C$6)</f>
        <v>48.1428571428571</v>
      </c>
      <c r="M29" s="23" t="n">
        <f aca="false">IFERROR(MIN(1/M17,Inputs!$C$6),Inputs!$C$6)</f>
        <v>44.875</v>
      </c>
      <c r="N29" s="23" t="n">
        <f aca="false">IFERROR(MIN(1/N17,Inputs!$C$6),Inputs!$C$6)</f>
        <v>47.375</v>
      </c>
      <c r="O29" s="23" t="n">
        <f aca="false">IFERROR(MIN(1/O17,Inputs!$C$6),Inputs!$C$6)</f>
        <v>50</v>
      </c>
      <c r="P29" s="5" t="s">
        <v>106</v>
      </c>
    </row>
    <row r="30" customFormat="false" ht="15" hidden="false" customHeight="false" outlineLevel="0" collapsed="false">
      <c r="B30" s="11" t="s">
        <v>107</v>
      </c>
      <c r="D30" s="19" t="n">
        <f aca="false">D23*D27*D29</f>
        <v>18100.9319371728</v>
      </c>
      <c r="E30" s="19" t="n">
        <f aca="false">E23*E27*E29</f>
        <v>20161.3113207547</v>
      </c>
      <c r="F30" s="19" t="n">
        <f aca="false">F23*F27*F29</f>
        <v>17845.1227467811</v>
      </c>
      <c r="G30" s="19" t="n">
        <f aca="false">G23*G27*G29</f>
        <v>19613.2584980237</v>
      </c>
      <c r="H30" s="19" t="n">
        <f aca="false">H23*H27*H29</f>
        <v>21273.344</v>
      </c>
      <c r="I30" s="19" t="n">
        <f aca="false">I23*I27*I29</f>
        <v>19258.0790960452</v>
      </c>
      <c r="J30" s="19" t="n">
        <f aca="false">J23*J27*J29</f>
        <v>20640.6940063092</v>
      </c>
      <c r="K30" s="19" t="n">
        <f aca="false">K23*K27*K29</f>
        <v>19011.9372615515</v>
      </c>
      <c r="L30" s="19" t="n">
        <f aca="false">L23*L27*L29</f>
        <v>20211.9538400318</v>
      </c>
      <c r="M30" s="19" t="n">
        <f aca="false">M23*M27*M29</f>
        <v>18845.1319261214</v>
      </c>
      <c r="N30" s="19" t="n">
        <f aca="false">N23*N27*N29</f>
        <v>19897.5</v>
      </c>
      <c r="O30" s="19" t="n">
        <f aca="false">O23*O27*O29</f>
        <v>21000</v>
      </c>
      <c r="P30" s="5" t="s">
        <v>108</v>
      </c>
    </row>
    <row r="31" customFormat="false" ht="15" hidden="false" customHeight="false" outlineLevel="0" collapsed="false">
      <c r="B31" s="7" t="s">
        <v>109</v>
      </c>
      <c r="D31" s="17" t="n">
        <f aca="false">D23*D27*IFERROR(MIN(1/D18,Inputs!$C$6),Inputs!$C$6)</f>
        <v>18100.9319371728</v>
      </c>
      <c r="E31" s="17" t="n">
        <f aca="false">E23*E27*IFERROR(MIN(1/E18,Inputs!$C$6),Inputs!$C$6)</f>
        <v>19105.7452830189</v>
      </c>
      <c r="F31" s="17" t="n">
        <f aca="false">F23*F27*IFERROR(MIN(1/F18,Inputs!$C$6),Inputs!$C$6)</f>
        <v>18583.2736876857</v>
      </c>
      <c r="G31" s="17" t="n">
        <f aca="false">G23*G27*IFERROR(MIN(1/G18,Inputs!$C$6),Inputs!$C$6)</f>
        <v>19120.2213438735</v>
      </c>
      <c r="H31" s="17" t="n">
        <f aca="false">H23*H27*IFERROR(MIN(1/H18,Inputs!$C$6),Inputs!$C$6)</f>
        <v>19563.6286060606</v>
      </c>
      <c r="I31" s="17" t="n">
        <f aca="false">I23*I27*IFERROR(MIN(1/I18,Inputs!$C$6),Inputs!$C$6)</f>
        <v>19984.6338983051</v>
      </c>
      <c r="J31" s="17" t="n">
        <f aca="false">J23*J27*IFERROR(MIN(1/J18,Inputs!$C$6),Inputs!$C$6)</f>
        <v>20323.7780664316</v>
      </c>
      <c r="K31" s="17" t="n">
        <f aca="false">K23*K27*IFERROR(MIN(1/K18,Inputs!$C$6),Inputs!$C$6)</f>
        <v>19599.0566921755</v>
      </c>
      <c r="L31" s="17" t="n">
        <f aca="false">L23*L27*IFERROR(MIN(1/L18,Inputs!$C$6),Inputs!$C$6)</f>
        <v>19921.069637883</v>
      </c>
      <c r="M31" s="17" t="n">
        <f aca="false">M23*M27*IFERROR(MIN(1/M18,Inputs!$C$6),Inputs!$C$6)</f>
        <v>19336.6610698009</v>
      </c>
      <c r="N31" s="17" t="n">
        <f aca="false">N23*N27*IFERROR(MIN(1/N18,Inputs!$C$6),Inputs!$C$6)</f>
        <v>19630.4347826087</v>
      </c>
      <c r="O31" s="17" t="n">
        <f aca="false">O23*O27*IFERROR(MIN(1/O18,Inputs!$C$6),Inputs!$C$6)</f>
        <v>19915</v>
      </c>
      <c r="P31" s="5" t="s">
        <v>110</v>
      </c>
    </row>
    <row r="32" customFormat="false" ht="15" hidden="false" customHeight="false" outlineLevel="0" collapsed="false">
      <c r="B32" s="7" t="s">
        <v>111</v>
      </c>
      <c r="D32" s="24" t="n">
        <f aca="false">IFERROR(D30/D25,0)</f>
        <v>4.52523298429319</v>
      </c>
      <c r="E32" s="24" t="n">
        <f aca="false">IFERROR(E30/E25,0)</f>
        <v>5.04032783018868</v>
      </c>
      <c r="F32" s="24" t="n">
        <f aca="false">IFERROR(F30/F25,0)</f>
        <v>4.46128068669528</v>
      </c>
      <c r="G32" s="24" t="n">
        <f aca="false">IFERROR(G30/G25,0)</f>
        <v>4.90331462450593</v>
      </c>
      <c r="H32" s="24" t="n">
        <f aca="false">IFERROR(H30/H25,0)</f>
        <v>5.318336</v>
      </c>
      <c r="I32" s="24" t="n">
        <f aca="false">IFERROR(I30/I25,0)</f>
        <v>4.8145197740113</v>
      </c>
      <c r="J32" s="24" t="n">
        <f aca="false">IFERROR(J30/J25,0)</f>
        <v>5.16017350157729</v>
      </c>
      <c r="K32" s="24" t="n">
        <f aca="false">IFERROR(K30/K25,0)</f>
        <v>4.75298431538788</v>
      </c>
      <c r="L32" s="24" t="n">
        <f aca="false">IFERROR(L30/L25,0)</f>
        <v>5.05298846000796</v>
      </c>
      <c r="M32" s="24" t="n">
        <f aca="false">IFERROR(M30/M25,0)</f>
        <v>4.71128298153034</v>
      </c>
      <c r="N32" s="24" t="n">
        <f aca="false">IFERROR(N30/N25,0)</f>
        <v>4.974375</v>
      </c>
      <c r="O32" s="24" t="n">
        <f aca="false">IFERROR(O30/O25,0)</f>
        <v>5.25</v>
      </c>
      <c r="P32" s="5" t="s">
        <v>112</v>
      </c>
    </row>
    <row r="34" customFormat="false" ht="15" hidden="false" customHeight="false" outlineLevel="0" collapsed="false">
      <c r="B34" s="3" t="s">
        <v>113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customFormat="false" ht="15" hidden="false" customHeight="false" outlineLevel="0" collapsed="false">
      <c r="B35" s="7" t="s">
        <v>101</v>
      </c>
      <c r="D35" s="20" t="n">
        <f aca="false">D27</f>
        <v>0.8</v>
      </c>
      <c r="E35" s="20" t="n">
        <f aca="false">E27</f>
        <v>0.8</v>
      </c>
      <c r="F35" s="20" t="n">
        <f aca="false">F27</f>
        <v>0.8</v>
      </c>
      <c r="G35" s="20" t="n">
        <f aca="false">G27</f>
        <v>0.8</v>
      </c>
      <c r="H35" s="20" t="n">
        <f aca="false">H27</f>
        <v>0.8</v>
      </c>
      <c r="I35" s="20" t="n">
        <f aca="false">I27</f>
        <v>0.8</v>
      </c>
      <c r="J35" s="20" t="n">
        <f aca="false">J27</f>
        <v>0.8</v>
      </c>
      <c r="K35" s="20" t="n">
        <f aca="false">K27</f>
        <v>0.8</v>
      </c>
      <c r="L35" s="20" t="n">
        <f aca="false">L27</f>
        <v>0.8</v>
      </c>
      <c r="M35" s="20" t="n">
        <f aca="false">M27</f>
        <v>0.8</v>
      </c>
      <c r="N35" s="20" t="n">
        <f aca="false">N27</f>
        <v>0.8</v>
      </c>
      <c r="O35" s="20" t="n">
        <f aca="false">O27</f>
        <v>0.8</v>
      </c>
    </row>
    <row r="36" customFormat="false" ht="15" hidden="false" customHeight="false" outlineLevel="0" collapsed="false">
      <c r="B36" s="7" t="s">
        <v>114</v>
      </c>
      <c r="D36" s="20" t="n">
        <f aca="false">IFERROR((Inputs!D27-Inputs!D28)/Inputs!D27,0)</f>
        <v>0.3</v>
      </c>
      <c r="E36" s="20" t="n">
        <f aca="false">IFERROR((Inputs!E27-Inputs!E28)/Inputs!E27,0)</f>
        <v>0.3</v>
      </c>
      <c r="F36" s="20" t="n">
        <f aca="false">IFERROR((Inputs!F27-Inputs!F28)/Inputs!F27,0)</f>
        <v>0.303703703703704</v>
      </c>
      <c r="G36" s="20" t="n">
        <f aca="false">IFERROR((Inputs!G27-Inputs!G28)/Inputs!G27,0)</f>
        <v>0.3</v>
      </c>
      <c r="H36" s="20" t="n">
        <f aca="false">IFERROR((Inputs!H27-Inputs!H28)/Inputs!H27,0)</f>
        <v>0.3</v>
      </c>
      <c r="I36" s="20" t="n">
        <f aca="false">IFERROR((Inputs!I27-Inputs!I28)/Inputs!I27,0)</f>
        <v>0.296969696969697</v>
      </c>
      <c r="J36" s="20" t="n">
        <f aca="false">IFERROR((Inputs!J27-Inputs!J28)/Inputs!J27,0)</f>
        <v>0.3</v>
      </c>
      <c r="K36" s="20" t="n">
        <f aca="false">IFERROR((Inputs!K27-Inputs!K28)/Inputs!K27,0)</f>
        <v>0.302857142857143</v>
      </c>
      <c r="L36" s="20" t="n">
        <f aca="false">IFERROR((Inputs!L27-Inputs!L28)/Inputs!L27,0)</f>
        <v>0.3</v>
      </c>
      <c r="M36" s="20" t="n">
        <f aca="false">IFERROR((Inputs!M27-Inputs!M28)/Inputs!M27,0)</f>
        <v>0.297297297297297</v>
      </c>
      <c r="N36" s="20" t="n">
        <f aca="false">IFERROR((Inputs!N27-Inputs!N28)/Inputs!N27,0)</f>
        <v>0.302564102564103</v>
      </c>
      <c r="O36" s="20" t="n">
        <f aca="false">IFERROR((Inputs!O27-Inputs!O28)/Inputs!O27,0)</f>
        <v>0.3</v>
      </c>
      <c r="P36" s="5" t="s">
        <v>115</v>
      </c>
    </row>
    <row r="37" customFormat="false" ht="15" hidden="false" customHeight="false" outlineLevel="0" collapsed="false">
      <c r="B37" s="7" t="s">
        <v>116</v>
      </c>
      <c r="D37" s="20" t="n">
        <f aca="false">IFERROR((Inputs!D25+Inputs!D27-Inputs!D26-Inputs!D28)/(Inputs!D25+Inputs!D27),0)</f>
        <v>0.736363636363636</v>
      </c>
      <c r="E37" s="20" t="n">
        <f aca="false">IFERROR((Inputs!E25+Inputs!E27-Inputs!E26-Inputs!E28)/(Inputs!E25+Inputs!E27),0)</f>
        <v>0.738271604938272</v>
      </c>
      <c r="F37" s="20" t="n">
        <f aca="false">IFERROR((Inputs!F25+Inputs!F27-Inputs!F26-Inputs!F28)/(Inputs!F25+Inputs!F27),0)</f>
        <v>0.748659003831418</v>
      </c>
      <c r="G37" s="20" t="n">
        <f aca="false">IFERROR((Inputs!G25+Inputs!G27-Inputs!G26-Inputs!G28)/(Inputs!G25+Inputs!G27),0)</f>
        <v>0.744444444444445</v>
      </c>
      <c r="H37" s="20" t="n">
        <f aca="false">IFERROR((Inputs!H25+Inputs!H27-Inputs!H26-Inputs!H28)/(Inputs!H25+Inputs!H27),0)</f>
        <v>0.745512820512821</v>
      </c>
      <c r="I37" s="20" t="n">
        <f aca="false">IFERROR((Inputs!I25+Inputs!I27-Inputs!I26-Inputs!I28)/(Inputs!I25+Inputs!I27),0)</f>
        <v>0.75</v>
      </c>
      <c r="J37" s="20" t="n">
        <f aca="false">IFERROR((Inputs!J25+Inputs!J27-Inputs!J26-Inputs!J28)/(Inputs!J25+Inputs!J27),0)</f>
        <v>0.749579831932773</v>
      </c>
      <c r="K37" s="20" t="n">
        <f aca="false">IFERROR((Inputs!K25+Inputs!K27-Inputs!K26-Inputs!K28)/(Inputs!K25+Inputs!K27),0)</f>
        <v>0.753968253968254</v>
      </c>
      <c r="L37" s="20" t="n">
        <f aca="false">IFERROR((Inputs!L25+Inputs!L27-Inputs!L26-Inputs!L28)/(Inputs!L25+Inputs!L27),0)</f>
        <v>0.752853598014888</v>
      </c>
      <c r="M37" s="20" t="n">
        <f aca="false">IFERROR((Inputs!M25+Inputs!M27-Inputs!M26-Inputs!M28)/(Inputs!M25+Inputs!M27),0)</f>
        <v>0.756132075471698</v>
      </c>
      <c r="N37" s="20" t="n">
        <f aca="false">IFERROR((Inputs!N25+Inputs!N27-Inputs!N26-Inputs!N28)/(Inputs!N25+Inputs!N27),0)</f>
        <v>0.756696428571429</v>
      </c>
      <c r="O37" s="20" t="n">
        <f aca="false">IFERROR((Inputs!O25+Inputs!O27-Inputs!O26-Inputs!O28)/(Inputs!O25+Inputs!O27),0)</f>
        <v>0.757446808510638</v>
      </c>
      <c r="P37" s="5" t="s">
        <v>117</v>
      </c>
    </row>
    <row r="39" customFormat="false" ht="15" hidden="false" customHeight="false" outlineLevel="0" collapsed="false">
      <c r="B39" s="3" t="s">
        <v>118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customFormat="false" ht="15" hidden="false" customHeight="false" outlineLevel="0" collapsed="false">
      <c r="B40" s="7" t="s">
        <v>119</v>
      </c>
      <c r="D40" s="17" t="n">
        <f aca="false">(Inputs!D17+Inputs!D22)/2</f>
        <v>95960</v>
      </c>
      <c r="E40" s="17" t="n">
        <f aca="false">(Inputs!E17+Inputs!E22)/2</f>
        <v>106490</v>
      </c>
      <c r="F40" s="17" t="n">
        <f aca="false">(Inputs!F17+Inputs!F22)/2</f>
        <v>117235</v>
      </c>
      <c r="G40" s="17" t="n">
        <f aca="false">(Inputs!G17+Inputs!G22)/2</f>
        <v>127842.5</v>
      </c>
      <c r="H40" s="17" t="n">
        <f aca="false">(Inputs!H17+Inputs!H22)/2</f>
        <v>138812.5</v>
      </c>
      <c r="I40" s="17" t="n">
        <f aca="false">(Inputs!I17+Inputs!I22)/2</f>
        <v>149730</v>
      </c>
      <c r="J40" s="17" t="n">
        <f aca="false">(Inputs!J17+Inputs!J22)/2</f>
        <v>160645</v>
      </c>
      <c r="K40" s="17" t="n">
        <f aca="false">(Inputs!K17+Inputs!K22)/2</f>
        <v>171600</v>
      </c>
      <c r="L40" s="17" t="n">
        <f aca="false">(Inputs!L17+Inputs!L22)/2</f>
        <v>182625</v>
      </c>
      <c r="M40" s="17" t="n">
        <f aca="false">(Inputs!M17+Inputs!M22)/2</f>
        <v>193675</v>
      </c>
      <c r="N40" s="17" t="n">
        <f aca="false">(Inputs!N17+Inputs!N22)/2</f>
        <v>204475</v>
      </c>
      <c r="O40" s="17" t="n">
        <f aca="false">(Inputs!O17+Inputs!O22)/2</f>
        <v>215775</v>
      </c>
      <c r="P40" s="5" t="s">
        <v>120</v>
      </c>
    </row>
    <row r="41" customFormat="false" ht="15" hidden="false" customHeight="false" outlineLevel="0" collapsed="false">
      <c r="B41" s="7" t="s">
        <v>121</v>
      </c>
      <c r="D41" s="17" t="n">
        <f aca="false">Inputs!D25</f>
        <v>96000</v>
      </c>
      <c r="E41" s="17" t="n">
        <f aca="false">Inputs!E25</f>
        <v>106500</v>
      </c>
      <c r="F41" s="17" t="n">
        <f aca="false">Inputs!F25</f>
        <v>117000</v>
      </c>
      <c r="G41" s="17" t="n">
        <f aca="false">Inputs!G25</f>
        <v>128000</v>
      </c>
      <c r="H41" s="17" t="n">
        <f aca="false">Inputs!H25</f>
        <v>139000</v>
      </c>
      <c r="I41" s="17" t="n">
        <f aca="false">Inputs!I25</f>
        <v>149500</v>
      </c>
      <c r="J41" s="17" t="n">
        <f aca="false">Inputs!J25</f>
        <v>160500</v>
      </c>
      <c r="K41" s="17" t="n">
        <f aca="false">Inputs!K25</f>
        <v>171500</v>
      </c>
      <c r="L41" s="17" t="n">
        <f aca="false">Inputs!L25</f>
        <v>182500</v>
      </c>
      <c r="M41" s="17" t="n">
        <f aca="false">Inputs!M25</f>
        <v>193500</v>
      </c>
      <c r="N41" s="17" t="n">
        <f aca="false">Inputs!N25</f>
        <v>204500</v>
      </c>
      <c r="O41" s="17" t="n">
        <f aca="false">Inputs!O25</f>
        <v>215000</v>
      </c>
    </row>
    <row r="42" customFormat="false" ht="15" hidden="false" customHeight="false" outlineLevel="0" collapsed="false">
      <c r="B42" s="7" t="s">
        <v>122</v>
      </c>
      <c r="D42" s="17" t="n">
        <f aca="false">D41-D40</f>
        <v>40</v>
      </c>
      <c r="E42" s="17" t="n">
        <f aca="false">E41-E40</f>
        <v>10</v>
      </c>
      <c r="F42" s="17" t="n">
        <f aca="false">F41-F40</f>
        <v>-235</v>
      </c>
      <c r="G42" s="17" t="n">
        <f aca="false">G41-G40</f>
        <v>157.5</v>
      </c>
      <c r="H42" s="17" t="n">
        <f aca="false">H41-H40</f>
        <v>187.5</v>
      </c>
      <c r="I42" s="17" t="n">
        <f aca="false">I41-I40</f>
        <v>-230</v>
      </c>
      <c r="J42" s="17" t="n">
        <f aca="false">J41-J40</f>
        <v>-145</v>
      </c>
      <c r="K42" s="17" t="n">
        <f aca="false">K41-K40</f>
        <v>-100</v>
      </c>
      <c r="L42" s="17" t="n">
        <f aca="false">L41-L40</f>
        <v>-125</v>
      </c>
      <c r="M42" s="17" t="n">
        <f aca="false">M41-M40</f>
        <v>-175</v>
      </c>
      <c r="N42" s="17" t="n">
        <f aca="false">N41-N40</f>
        <v>25</v>
      </c>
      <c r="O42" s="17" t="n">
        <f aca="false">O41-O40</f>
        <v>-775</v>
      </c>
      <c r="P42" s="5" t="s">
        <v>123</v>
      </c>
    </row>
    <row r="43" customFormat="false" ht="15" hidden="false" customHeight="false" outlineLevel="0" collapsed="false">
      <c r="B43" s="11" t="s">
        <v>124</v>
      </c>
      <c r="D43" s="25" t="n">
        <f aca="false">IFERROR(D42/D40,0)</f>
        <v>0.000416840350145894</v>
      </c>
      <c r="E43" s="25" t="n">
        <f aca="false">IFERROR(E42/E40,0)</f>
        <v>9.3905531035778E-005</v>
      </c>
      <c r="F43" s="25" t="n">
        <f aca="false">IFERROR(F42/F40,0)</f>
        <v>-0.00200452083422186</v>
      </c>
      <c r="G43" s="25" t="n">
        <f aca="false">IFERROR(G42/G40,0)</f>
        <v>0.00123198466863523</v>
      </c>
      <c r="H43" s="25" t="n">
        <f aca="false">IFERROR(H42/H40,0)</f>
        <v>0.00135074290859973</v>
      </c>
      <c r="I43" s="25" t="n">
        <f aca="false">IFERROR(I42/I40,0)</f>
        <v>-0.00153609831029186</v>
      </c>
      <c r="J43" s="25" t="n">
        <f aca="false">IFERROR(J42/J40,0)</f>
        <v>-0.000902611348003362</v>
      </c>
      <c r="K43" s="25" t="n">
        <f aca="false">IFERROR(K42/K40,0)</f>
        <v>-0.000582750582750583</v>
      </c>
      <c r="L43" s="25" t="n">
        <f aca="false">IFERROR(L42/L40,0)</f>
        <v>-0.000684462696783025</v>
      </c>
      <c r="M43" s="25" t="n">
        <f aca="false">IFERROR(M42/M40,0)</f>
        <v>-0.000903575577642959</v>
      </c>
      <c r="N43" s="25" t="n">
        <f aca="false">IFERROR(N42/N40,0)</f>
        <v>0.000122264335493337</v>
      </c>
      <c r="O43" s="25" t="n">
        <f aca="false">IFERROR(O42/O40,0)</f>
        <v>-0.00359170432163133</v>
      </c>
      <c r="P43" s="5" t="s">
        <v>125</v>
      </c>
    </row>
    <row r="45" customFormat="false" ht="15" hidden="false" customHeight="false" outlineLevel="0" collapsed="false">
      <c r="B45" s="3" t="s">
        <v>126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customFormat="false" ht="15" hidden="false" customHeight="false" outlineLevel="0" collapsed="false">
      <c r="B46" s="11" t="s">
        <v>127</v>
      </c>
      <c r="D46" s="22" t="n">
        <f aca="false">IF(AVERAGE(Inputs!D33:D33)&lt;=0,"Cash-positive",Inputs!D32/AVERAGE(Inputs!D33:D33))</f>
        <v>26.4423076923077</v>
      </c>
      <c r="E46" s="22" t="n">
        <f aca="false">IF(AVERAGE(Inputs!D33:E33)&lt;=0,"Cash-positive",Inputs!E32/AVERAGE(Inputs!D33:E33))</f>
        <v>25.9803921568627</v>
      </c>
      <c r="F46" s="22" t="n">
        <f aca="false">IF(AVERAGE(Inputs!D33:F33)&lt;=0,"Cash-positive",Inputs!F32/AVERAGE(Inputs!D33:F33))</f>
        <v>25.3509933774834</v>
      </c>
      <c r="G46" s="22" t="n">
        <f aca="false">IF(AVERAGE(Inputs!E33:G33)&lt;=0,"Cash-positive",Inputs!G32/AVERAGE(Inputs!E33:G33))</f>
        <v>25.2534246575342</v>
      </c>
      <c r="H46" s="22" t="n">
        <f aca="false">IF(AVERAGE(Inputs!F33:H33)&lt;=0,"Cash-positive",Inputs!H32/AVERAGE(Inputs!F33:H33))</f>
        <v>24.9929577464789</v>
      </c>
      <c r="I46" s="22" t="n">
        <f aca="false">IF(AVERAGE(Inputs!G33:I33)&lt;=0,"Cash-positive",Inputs!I32/AVERAGE(Inputs!G33:I33))</f>
        <v>24.9416058394161</v>
      </c>
      <c r="J46" s="22" t="n">
        <f aca="false">IF(AVERAGE(Inputs!H33:J33)&lt;=0,"Cash-positive",Inputs!J32/AVERAGE(Inputs!H33:J33))</f>
        <v>24.7218045112782</v>
      </c>
      <c r="K46" s="22" t="n">
        <f aca="false">IF(AVERAGE(Inputs!I33:K33)&lt;=0,"Cash-positive",Inputs!K32/AVERAGE(Inputs!I33:K33))</f>
        <v>24.7265625</v>
      </c>
      <c r="L46" s="22" t="n">
        <f aca="false">IF(AVERAGE(Inputs!J33:L33)&lt;=0,"Cash-positive",Inputs!L32/AVERAGE(Inputs!J33:L33))</f>
        <v>24.5564516129032</v>
      </c>
      <c r="M46" s="22" t="n">
        <f aca="false">IF(AVERAGE(Inputs!K33:M33)&lt;=0,"Cash-positive",Inputs!M32/AVERAGE(Inputs!K33:M33))</f>
        <v>24.6302521008403</v>
      </c>
      <c r="N46" s="22" t="n">
        <f aca="false">IF(AVERAGE(Inputs!L33:N33)&lt;=0,"Cash-positive",Inputs!N32/AVERAGE(Inputs!L33:N33))</f>
        <v>25.0088495575221</v>
      </c>
      <c r="O46" s="22" t="n">
        <f aca="false">IF(AVERAGE(Inputs!M33:O33)&lt;=0,"Cash-positive",Inputs!O32/AVERAGE(Inputs!M33:O33))</f>
        <v>26</v>
      </c>
      <c r="P46" s="5" t="s">
        <v>128</v>
      </c>
    </row>
    <row r="47" customFormat="false" ht="15" hidden="false" customHeight="false" outlineLevel="0" collapsed="false">
      <c r="B47" s="7" t="s">
        <v>129</v>
      </c>
      <c r="D47" s="24" t="n">
        <f aca="false">IF(Inputs!D33&lt;=0,"Cash-positive",IFERROR(Inputs!D33/(D13*12),"No net new ARR"))</f>
        <v>0.422352176738142</v>
      </c>
      <c r="E47" s="24" t="n">
        <f aca="false">IF(Inputs!E33&lt;=0,"Cash-positive",IFERROR(Inputs!E33/(E13*12),"No net new ARR"))</f>
        <v>0.385802469135802</v>
      </c>
      <c r="F47" s="24" t="n">
        <f aca="false">IF(Inputs!F33&lt;=0,"Cash-positive",IFERROR(Inputs!F33/(F13*12),"No net new ARR"))</f>
        <v>0.381976925475522</v>
      </c>
      <c r="G47" s="24" t="n">
        <f aca="false">IF(Inputs!G33&lt;=0,"Cash-positive",IFERROR(Inputs!G33/(G13*12),"No net new ARR"))</f>
        <v>0.372129849564529</v>
      </c>
      <c r="H47" s="24" t="n">
        <f aca="false">IF(Inputs!H33&lt;=0,"Cash-positive",IFERROR(Inputs!H33/(H13*12),"No net new ARR"))</f>
        <v>0.335815447510586</v>
      </c>
      <c r="I47" s="24" t="n">
        <f aca="false">IF(Inputs!I33&lt;=0,"Cash-positive",IFERROR(Inputs!I33/(I13*12),"No net new ARR"))</f>
        <v>0.351887396033269</v>
      </c>
      <c r="J47" s="24" t="n">
        <f aca="false">IF(Inputs!J33&lt;=0,"Cash-positive",IFERROR(Inputs!J33/(J13*12),"No net new ARR"))</f>
        <v>0.314052001168566</v>
      </c>
      <c r="K47" s="24" t="n">
        <f aca="false">IF(Inputs!K33&lt;=0,"Cash-positive",IFERROR(Inputs!K33/(K13*12),"No net new ARR"))</f>
        <v>0.325396825396825</v>
      </c>
      <c r="L47" s="24" t="n">
        <f aca="false">IF(Inputs!L33&lt;=0,"Cash-positive",IFERROR(Inputs!L33/(L13*12),"No net new ARR"))</f>
        <v>0.288600288600289</v>
      </c>
      <c r="M47" s="24" t="n">
        <f aca="false">IF(Inputs!M33&lt;=0,"Cash-positive",IFERROR(Inputs!M33/(M13*12),"No net new ARR"))</f>
        <v>0.300157977883096</v>
      </c>
      <c r="N47" s="24" t="n">
        <f aca="false">IF(Inputs!N33&lt;=0,"Cash-positive",IFERROR(Inputs!N33/(N13*12),"No net new ARR"))</f>
        <v>0.26395173453997</v>
      </c>
      <c r="O47" s="24" t="n">
        <f aca="false">IF(Inputs!O33&lt;=0,"Cash-positive",IFERROR(Inputs!O33/(O13*12),"No net new ARR"))</f>
        <v>0.230880230880231</v>
      </c>
      <c r="P47" s="5" t="s">
        <v>130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2"/>
    <col collapsed="false" customWidth="true" hidden="false" outlineLevel="0" max="3" min="3" style="0" width="16"/>
    <col collapsed="false" customWidth="true" hidden="false" outlineLevel="0" max="4" min="4" style="0" width="80"/>
  </cols>
  <sheetData>
    <row r="2" customFormat="false" ht="17.35" hidden="false" customHeight="false" outlineLevel="0" collapsed="false">
      <c r="B2" s="1" t="s">
        <v>131</v>
      </c>
    </row>
    <row r="3" customFormat="false" ht="15" hidden="false" customHeight="false" outlineLevel="0" collapsed="false">
      <c r="B3" s="6" t="s">
        <v>132</v>
      </c>
    </row>
    <row r="5" customFormat="false" ht="15" hidden="false" customHeight="false" outlineLevel="0" collapsed="false">
      <c r="B5" s="3" t="s">
        <v>133</v>
      </c>
      <c r="C5" s="13"/>
      <c r="D5" s="13"/>
    </row>
    <row r="6" customFormat="false" ht="15" hidden="false" customHeight="false" outlineLevel="0" collapsed="false">
      <c r="B6" s="7" t="s">
        <v>134</v>
      </c>
      <c r="C6" s="16" t="n">
        <v>180000</v>
      </c>
      <c r="D6" s="5" t="s">
        <v>135</v>
      </c>
    </row>
    <row r="7" customFormat="false" ht="15" hidden="false" customHeight="false" outlineLevel="0" collapsed="false">
      <c r="B7" s="7" t="s">
        <v>136</v>
      </c>
      <c r="C7" s="16" t="n">
        <v>27000</v>
      </c>
      <c r="D7" s="5" t="s">
        <v>137</v>
      </c>
    </row>
    <row r="8" customFormat="false" ht="15" hidden="false" customHeight="false" outlineLevel="0" collapsed="false">
      <c r="B8" s="7" t="s">
        <v>138</v>
      </c>
      <c r="C8" s="16" t="n">
        <v>18000</v>
      </c>
      <c r="D8" s="5" t="s">
        <v>139</v>
      </c>
    </row>
    <row r="9" customFormat="false" ht="15" hidden="false" customHeight="false" outlineLevel="0" collapsed="false">
      <c r="B9" s="7" t="s">
        <v>140</v>
      </c>
      <c r="C9" s="16" t="n">
        <v>39000</v>
      </c>
      <c r="D9" s="5" t="s">
        <v>141</v>
      </c>
    </row>
    <row r="11" customFormat="false" ht="15" hidden="false" customHeight="false" outlineLevel="0" collapsed="false">
      <c r="B11" s="3" t="s">
        <v>142</v>
      </c>
      <c r="C11" s="13"/>
      <c r="D11" s="13"/>
    </row>
    <row r="12" customFormat="false" ht="15" hidden="false" customHeight="false" outlineLevel="0" collapsed="false">
      <c r="B12" s="7" t="s">
        <v>143</v>
      </c>
      <c r="C12" s="17" t="n">
        <f aca="false">C6+C7-C8-C9</f>
        <v>150000</v>
      </c>
    </row>
    <row r="13" customFormat="false" ht="15" hidden="false" customHeight="false" outlineLevel="0" collapsed="false">
      <c r="B13" s="11" t="s">
        <v>144</v>
      </c>
      <c r="C13" s="25" t="n">
        <f aca="false">IFERROR(C12/C6,0)</f>
        <v>0.833333333333333</v>
      </c>
      <c r="D13" s="5" t="s">
        <v>145</v>
      </c>
    </row>
    <row r="14" customFormat="false" ht="15" hidden="false" customHeight="false" outlineLevel="0" collapsed="false">
      <c r="B14" s="11" t="s">
        <v>146</v>
      </c>
      <c r="C14" s="25" t="n">
        <f aca="false">IFERROR((C6-C8-C9)/C6,0)</f>
        <v>0.683333333333333</v>
      </c>
      <c r="D14" s="5" t="s">
        <v>147</v>
      </c>
    </row>
    <row r="16" customFormat="false" ht="30" hidden="false" customHeight="true" outlineLevel="0" collapsed="false">
      <c r="B16" s="26" t="str">
        <f aca="false">IF(C13&lt;1,"NRR under 100%: the customers you had a year ago pay you "&amp;TEXT(1-C13,"0%")&amp;" less today. New sales cover that before you grow.","NRR over 100%: last year’s customers pay you more today than they did then, before any new sales.")</f>
        <v>NRR under 100%: the customers you had a year ago pay you 17% less today. New sales cover that before you grow.</v>
      </c>
      <c r="C16" s="26"/>
      <c r="D16" s="26"/>
    </row>
  </sheetData>
  <mergeCells count="1">
    <mergeCell ref="B16:D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2026-11-05T20:02:10Z</dcterms:created>
  <dc:creator>openpyxl</dc:creator>
  <dc:description/>
  <dc:language>en-US</dc:language>
  <cp:lastModifiedBy/>
  <dcterms:modified xsi:type="dcterms:W3CDTF">2026-11-05T20:02:10Z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